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C:\Users\janek_ppa\Desktop\Janeki töökaust\Finantsprognoosid\"/>
    </mc:Choice>
  </mc:AlternateContent>
  <xr:revisionPtr revIDLastSave="0" documentId="8_{2F30562F-CE66-43F1-8B4F-E863CCA9CF91}" xr6:coauthVersionLast="47" xr6:coauthVersionMax="47" xr10:uidLastSave="{00000000-0000-0000-0000-000000000000}"/>
  <workbookProtection workbookAlgorithmName="SHA-512" workbookHashValue="anjlIM0tdJ3N9b0yirTddP1bnbDNiXRztsG9UgA5h01rt2suOEpz0dJQxViVNfm342wFU2OjI3upIgMPofvMrg==" workbookSaltValue="5TffFnhyMfi7OnFbYuwqzg==" workbookSpinCount="100000" lockStructure="1"/>
  <bookViews>
    <workbookView xWindow="-110" yWindow="-110" windowWidth="19420" windowHeight="10300" tabRatio="730" activeTab="1" xr2:uid="{00000000-000D-0000-FFFF-FFFF00000000}"/>
  </bookViews>
  <sheets>
    <sheet name="Algandmed" sheetId="1" r:id="rId1"/>
    <sheet name="Tooted" sheetId="2" r:id="rId2"/>
    <sheet name="Kassavood" sheetId="3" r:id="rId3"/>
    <sheet name="Kasumiaruanne" sheetId="4" r:id="rId4"/>
    <sheet name="Bilanss" sheetId="6" r:id="rId5"/>
    <sheet name="Töötajad" sheetId="5" r:id="rId6"/>
    <sheet name="Majandusnäitajate koondtabel" sheetId="7" state="hidden" r:id="rId7"/>
    <sheet name="Finantsvõimekus" sheetId="8" state="hidden" r:id="rId8"/>
  </sheets>
  <definedNames>
    <definedName name="kohu1">Bilanss!$C$47:$C$53</definedName>
    <definedName name="kohu2">Bilanss!$C$50:$C$53</definedName>
    <definedName name="_xlnm.Print_Area" localSheetId="2">Kassavood!$A$3:$G$101</definedName>
    <definedName name="_xlnm.Print_Area" localSheetId="3">Kasumiaruanne!$A$1:$I$67</definedName>
    <definedName name="_xlnm.Print_Area" localSheetId="1">Tooted!$A$2:$J$56</definedName>
    <definedName name="_xlnm.Print_Titles" localSheetId="2">Kassavood!$A:$A,Kassavood!$1:$2</definedName>
    <definedName name="_xlnm.Print_Titles" localSheetId="1">Tooted!$A:$D,Tooted!$2:$2</definedName>
    <definedName name="raha1">Bilanss!$C$6:$C$17</definedName>
    <definedName name="raha2">Bilanss!$C$9:$C$17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2" l="1"/>
  <c r="I11" i="2"/>
  <c r="H11" i="2"/>
  <c r="G11" i="2"/>
  <c r="F11" i="2"/>
  <c r="E11" i="2"/>
  <c r="D43" i="4"/>
  <c r="C15" i="5"/>
  <c r="D15" i="5"/>
  <c r="E15" i="5"/>
  <c r="F15" i="5"/>
  <c r="G15" i="5"/>
  <c r="B15" i="5"/>
  <c r="D47" i="6"/>
  <c r="B95" i="3"/>
  <c r="G95" i="3"/>
  <c r="B46" i="6" l="1"/>
  <c r="C46" i="6"/>
  <c r="D48" i="6"/>
  <c r="C49" i="6"/>
  <c r="E48" i="6"/>
  <c r="F48" i="6"/>
  <c r="G48" i="6"/>
  <c r="H48" i="6"/>
  <c r="I48" i="6"/>
  <c r="C95" i="3"/>
  <c r="D95" i="3"/>
  <c r="E95" i="3"/>
  <c r="F95" i="3"/>
  <c r="B56" i="4" l="1"/>
  <c r="B64" i="4" s="1"/>
  <c r="C64" i="4"/>
  <c r="E4" i="2"/>
  <c r="C10" i="4" l="1"/>
  <c r="D65" i="4"/>
  <c r="B4" i="3" l="1"/>
  <c r="E26" i="4"/>
  <c r="U4" i="2"/>
  <c r="V4" i="2"/>
  <c r="W4" i="2"/>
  <c r="X4" i="2"/>
  <c r="Y4" i="2"/>
  <c r="U5" i="2"/>
  <c r="V5" i="2"/>
  <c r="W5" i="2"/>
  <c r="X5" i="2"/>
  <c r="Y5" i="2"/>
  <c r="U6" i="2"/>
  <c r="V6" i="2"/>
  <c r="W6" i="2"/>
  <c r="X6" i="2"/>
  <c r="Y6" i="2"/>
  <c r="U7" i="2"/>
  <c r="V7" i="2"/>
  <c r="W7" i="2"/>
  <c r="X7" i="2"/>
  <c r="Y7" i="2"/>
  <c r="U8" i="2"/>
  <c r="V8" i="2"/>
  <c r="W8" i="2"/>
  <c r="X8" i="2"/>
  <c r="Y8" i="2"/>
  <c r="U9" i="2"/>
  <c r="V9" i="2"/>
  <c r="W9" i="2"/>
  <c r="X9" i="2"/>
  <c r="Y9" i="2"/>
  <c r="U10" i="2"/>
  <c r="V10" i="2"/>
  <c r="W10" i="2"/>
  <c r="X10" i="2"/>
  <c r="Y10" i="2"/>
  <c r="U11" i="2"/>
  <c r="V11" i="2"/>
  <c r="W11" i="2"/>
  <c r="X11" i="2"/>
  <c r="Y11" i="2"/>
  <c r="U12" i="2"/>
  <c r="V12" i="2"/>
  <c r="W12" i="2"/>
  <c r="X12" i="2"/>
  <c r="Y12" i="2"/>
  <c r="T12" i="2"/>
  <c r="T11" i="2"/>
  <c r="T10" i="2"/>
  <c r="T9" i="2"/>
  <c r="T8" i="2"/>
  <c r="T7" i="2"/>
  <c r="T6" i="2"/>
  <c r="T5" i="2"/>
  <c r="T4" i="2"/>
  <c r="M9" i="2"/>
  <c r="I65" i="4" l="1"/>
  <c r="D25" i="6" l="1"/>
  <c r="E25" i="6" s="1"/>
  <c r="F25" i="6" s="1"/>
  <c r="G25" i="6" s="1"/>
  <c r="H25" i="6" s="1"/>
  <c r="I25" i="6" s="1"/>
  <c r="D13" i="6"/>
  <c r="E13" i="6" s="1"/>
  <c r="F13" i="6" s="1"/>
  <c r="G13" i="6" s="1"/>
  <c r="H13" i="6" s="1"/>
  <c r="I13" i="6" s="1"/>
  <c r="B112" i="3"/>
  <c r="C112" i="3" s="1"/>
  <c r="D112" i="3" s="1"/>
  <c r="E112" i="3" s="1"/>
  <c r="F112" i="3" s="1"/>
  <c r="G112" i="3" s="1"/>
  <c r="D45" i="1" l="1"/>
  <c r="D43" i="1"/>
  <c r="B44" i="1"/>
  <c r="D32" i="6" s="1"/>
  <c r="C43" i="1"/>
  <c r="E43" i="1"/>
  <c r="F43" i="1"/>
  <c r="G43" i="1"/>
  <c r="C44" i="1"/>
  <c r="D44" i="1"/>
  <c r="E44" i="1"/>
  <c r="F44" i="1"/>
  <c r="G44" i="1"/>
  <c r="B106" i="3" s="1"/>
  <c r="C45" i="1"/>
  <c r="E45" i="1"/>
  <c r="F45" i="1"/>
  <c r="G45" i="1"/>
  <c r="B45" i="1"/>
  <c r="B43" i="1"/>
  <c r="C106" i="3" l="1"/>
  <c r="D106" i="3" s="1"/>
  <c r="E106" i="3" s="1"/>
  <c r="F106" i="3" s="1"/>
  <c r="G106" i="3" s="1"/>
  <c r="E32" i="6"/>
  <c r="F32" i="6" s="1"/>
  <c r="G32" i="6" s="1"/>
  <c r="H32" i="6" s="1"/>
  <c r="I32" i="6" s="1"/>
  <c r="B105" i="3"/>
  <c r="C105" i="3" s="1"/>
  <c r="D105" i="3" s="1"/>
  <c r="E105" i="3" s="1"/>
  <c r="F105" i="3" s="1"/>
  <c r="G105" i="3" s="1"/>
  <c r="D31" i="6"/>
  <c r="E31" i="6" s="1"/>
  <c r="F31" i="6" s="1"/>
  <c r="G31" i="6" s="1"/>
  <c r="H31" i="6" s="1"/>
  <c r="I31" i="6" s="1"/>
  <c r="E46" i="1"/>
  <c r="E47" i="1" s="1"/>
  <c r="D35" i="6"/>
  <c r="E35" i="6" s="1"/>
  <c r="F35" i="6" s="1"/>
  <c r="G35" i="6" s="1"/>
  <c r="H35" i="6" s="1"/>
  <c r="I35" i="6" s="1"/>
  <c r="B110" i="3"/>
  <c r="C110" i="3" s="1"/>
  <c r="D110" i="3" s="1"/>
  <c r="E110" i="3" s="1"/>
  <c r="F110" i="3" s="1"/>
  <c r="G110" i="3" s="1"/>
  <c r="D46" i="1"/>
  <c r="D47" i="1" s="1"/>
  <c r="F46" i="1"/>
  <c r="F47" i="1" s="1"/>
  <c r="G46" i="1"/>
  <c r="G47" i="1" s="1"/>
  <c r="B46" i="1"/>
  <c r="C46" i="1"/>
  <c r="C47" i="1" s="1"/>
  <c r="K26" i="1"/>
  <c r="L26" i="1"/>
  <c r="H26" i="1"/>
  <c r="I26" i="1"/>
  <c r="J26" i="1"/>
  <c r="G26" i="1"/>
  <c r="B47" i="1" l="1"/>
  <c r="G48" i="1"/>
  <c r="G99" i="3" s="1"/>
  <c r="E48" i="1"/>
  <c r="E99" i="3" s="1"/>
  <c r="D48" i="1"/>
  <c r="D99" i="3" s="1"/>
  <c r="C48" i="1"/>
  <c r="C99" i="3" s="1"/>
  <c r="F48" i="1"/>
  <c r="F99" i="3" s="1"/>
  <c r="B48" i="1"/>
  <c r="B99" i="3" s="1"/>
  <c r="D56" i="6" s="1"/>
  <c r="E56" i="6" s="1"/>
  <c r="F56" i="6" s="1"/>
  <c r="G56" i="6" s="1"/>
  <c r="H56" i="6" s="1"/>
  <c r="I56" i="6" s="1"/>
  <c r="D58" i="6"/>
  <c r="E58" i="6" s="1"/>
  <c r="F58" i="6" s="1"/>
  <c r="G58" i="6" s="1"/>
  <c r="H58" i="6" s="1"/>
  <c r="I58" i="6" s="1"/>
  <c r="E7" i="4"/>
  <c r="F7" i="4"/>
  <c r="G7" i="4"/>
  <c r="H7" i="4"/>
  <c r="I7" i="4"/>
  <c r="E6" i="4"/>
  <c r="F6" i="4"/>
  <c r="G6" i="4"/>
  <c r="H6" i="4"/>
  <c r="I6" i="4"/>
  <c r="D30" i="6"/>
  <c r="E30" i="6" s="1"/>
  <c r="F30" i="6" s="1"/>
  <c r="G30" i="6" s="1"/>
  <c r="H30" i="6" s="1"/>
  <c r="I30" i="6" s="1"/>
  <c r="D29" i="6"/>
  <c r="E29" i="6" s="1"/>
  <c r="F29" i="6" s="1"/>
  <c r="G29" i="6" s="1"/>
  <c r="H29" i="6" s="1"/>
  <c r="I29" i="6" s="1"/>
  <c r="D61" i="6"/>
  <c r="E61" i="6" s="1"/>
  <c r="F61" i="6" s="1"/>
  <c r="G61" i="6" s="1"/>
  <c r="H61" i="6" s="1"/>
  <c r="I61" i="6" s="1"/>
  <c r="D66" i="6"/>
  <c r="E61" i="4"/>
  <c r="F61" i="4"/>
  <c r="G61" i="4"/>
  <c r="H61" i="4"/>
  <c r="I61" i="4"/>
  <c r="E60" i="4"/>
  <c r="F60" i="4"/>
  <c r="G60" i="4"/>
  <c r="H60" i="4"/>
  <c r="I60" i="4"/>
  <c r="D60" i="4"/>
  <c r="E49" i="6"/>
  <c r="F49" i="6"/>
  <c r="G49" i="6"/>
  <c r="H49" i="6"/>
  <c r="I49" i="6"/>
  <c r="C40" i="3" l="1"/>
  <c r="D40" i="3"/>
  <c r="E40" i="3"/>
  <c r="F40" i="3"/>
  <c r="G40" i="3"/>
  <c r="B40" i="3"/>
  <c r="D46" i="6" l="1"/>
  <c r="C44" i="4" l="1"/>
  <c r="E3" i="4"/>
  <c r="F3" i="4"/>
  <c r="G3" i="4"/>
  <c r="H3" i="4"/>
  <c r="I3" i="4"/>
  <c r="D3" i="4"/>
  <c r="D6" i="4"/>
  <c r="D7" i="4"/>
  <c r="B14" i="3" l="1"/>
  <c r="AB4" i="2"/>
  <c r="AC4" i="2"/>
  <c r="AD4" i="2"/>
  <c r="AE4" i="2"/>
  <c r="AF4" i="2"/>
  <c r="AB3" i="2"/>
  <c r="AC3" i="2"/>
  <c r="AD3" i="2"/>
  <c r="AE3" i="2"/>
  <c r="AF3" i="2"/>
  <c r="AA4" i="2"/>
  <c r="AA3" i="2"/>
  <c r="N12" i="2"/>
  <c r="O12" i="2"/>
  <c r="P12" i="2"/>
  <c r="Q12" i="2"/>
  <c r="R12" i="2"/>
  <c r="N11" i="2"/>
  <c r="O11" i="2"/>
  <c r="P11" i="2"/>
  <c r="Q11" i="2"/>
  <c r="R11" i="2"/>
  <c r="N10" i="2"/>
  <c r="O10" i="2"/>
  <c r="P10" i="2"/>
  <c r="Q10" i="2"/>
  <c r="R10" i="2"/>
  <c r="N9" i="2"/>
  <c r="O9" i="2"/>
  <c r="P9" i="2"/>
  <c r="Q9" i="2"/>
  <c r="R9" i="2"/>
  <c r="N8" i="2"/>
  <c r="O8" i="2"/>
  <c r="P8" i="2"/>
  <c r="Q8" i="2"/>
  <c r="R8" i="2"/>
  <c r="N7" i="2"/>
  <c r="O7" i="2"/>
  <c r="P7" i="2"/>
  <c r="Q7" i="2"/>
  <c r="R7" i="2"/>
  <c r="N6" i="2"/>
  <c r="O6" i="2"/>
  <c r="P6" i="2"/>
  <c r="Q6" i="2"/>
  <c r="R6" i="2"/>
  <c r="N5" i="2"/>
  <c r="O5" i="2"/>
  <c r="P5" i="2"/>
  <c r="Q5" i="2"/>
  <c r="R5" i="2"/>
  <c r="O3" i="2"/>
  <c r="P3" i="2"/>
  <c r="Q3" i="2"/>
  <c r="R3" i="2"/>
  <c r="N3" i="2"/>
  <c r="M12" i="2"/>
  <c r="M11" i="2"/>
  <c r="M10" i="2"/>
  <c r="M8" i="2"/>
  <c r="M7" i="2"/>
  <c r="M6" i="2"/>
  <c r="M5" i="2"/>
  <c r="M3" i="2"/>
  <c r="B17" i="4"/>
  <c r="C17" i="4"/>
  <c r="A18" i="4"/>
  <c r="D18" i="4"/>
  <c r="E18" i="4"/>
  <c r="F18" i="4"/>
  <c r="G18" i="4"/>
  <c r="H18" i="4"/>
  <c r="I18" i="4"/>
  <c r="A19" i="4"/>
  <c r="D19" i="4"/>
  <c r="E19" i="4"/>
  <c r="F19" i="4"/>
  <c r="G19" i="4"/>
  <c r="H19" i="4"/>
  <c r="I19" i="4"/>
  <c r="A20" i="4"/>
  <c r="D20" i="4"/>
  <c r="E20" i="4"/>
  <c r="F20" i="4"/>
  <c r="G20" i="4"/>
  <c r="H20" i="4"/>
  <c r="I20" i="4"/>
  <c r="A21" i="4"/>
  <c r="D21" i="4"/>
  <c r="E21" i="4"/>
  <c r="F21" i="4"/>
  <c r="G21" i="4"/>
  <c r="H21" i="4"/>
  <c r="I21" i="4"/>
  <c r="D22" i="4"/>
  <c r="E22" i="4"/>
  <c r="F22" i="4"/>
  <c r="G22" i="4"/>
  <c r="H22" i="4"/>
  <c r="I22" i="4"/>
  <c r="A23" i="4"/>
  <c r="D23" i="4"/>
  <c r="E23" i="4"/>
  <c r="F23" i="4"/>
  <c r="G23" i="4"/>
  <c r="H23" i="4"/>
  <c r="I23" i="4"/>
  <c r="A24" i="4"/>
  <c r="D24" i="4"/>
  <c r="E24" i="4"/>
  <c r="F24" i="4"/>
  <c r="G24" i="4"/>
  <c r="H24" i="4"/>
  <c r="I24" i="4"/>
  <c r="B25" i="4"/>
  <c r="C25" i="4"/>
  <c r="A26" i="4"/>
  <c r="D26" i="4"/>
  <c r="F26" i="4"/>
  <c r="G26" i="4"/>
  <c r="H26" i="4"/>
  <c r="I26" i="4"/>
  <c r="A27" i="4"/>
  <c r="D27" i="4"/>
  <c r="E27" i="4"/>
  <c r="F27" i="4"/>
  <c r="G27" i="4"/>
  <c r="H27" i="4"/>
  <c r="I27" i="4"/>
  <c r="A28" i="4"/>
  <c r="D28" i="4"/>
  <c r="E28" i="4"/>
  <c r="F28" i="4"/>
  <c r="G28" i="4"/>
  <c r="H28" i="4"/>
  <c r="I28" i="4"/>
  <c r="A29" i="4"/>
  <c r="D29" i="4"/>
  <c r="E29" i="4"/>
  <c r="F29" i="4"/>
  <c r="G29" i="4"/>
  <c r="H29" i="4"/>
  <c r="I29" i="4"/>
  <c r="B30" i="4"/>
  <c r="C30" i="4"/>
  <c r="A31" i="4"/>
  <c r="D31" i="4"/>
  <c r="E31" i="4"/>
  <c r="F31" i="4"/>
  <c r="G31" i="4"/>
  <c r="H31" i="4"/>
  <c r="I31" i="4"/>
  <c r="A32" i="4"/>
  <c r="D32" i="4"/>
  <c r="E32" i="4"/>
  <c r="F32" i="4"/>
  <c r="G32" i="4"/>
  <c r="H32" i="4"/>
  <c r="I32" i="4"/>
  <c r="A33" i="4"/>
  <c r="D33" i="4"/>
  <c r="E33" i="4"/>
  <c r="F33" i="4"/>
  <c r="G33" i="4"/>
  <c r="H33" i="4"/>
  <c r="I33" i="4"/>
  <c r="A34" i="4"/>
  <c r="D34" i="4"/>
  <c r="E34" i="4"/>
  <c r="F34" i="4"/>
  <c r="G34" i="4"/>
  <c r="H34" i="4"/>
  <c r="I34" i="4"/>
  <c r="G30" i="4" l="1"/>
  <c r="F30" i="4"/>
  <c r="I25" i="4"/>
  <c r="H25" i="4"/>
  <c r="I30" i="4"/>
  <c r="G25" i="4"/>
  <c r="H30" i="4"/>
  <c r="F25" i="4"/>
  <c r="F17" i="4"/>
  <c r="E30" i="4"/>
  <c r="E17" i="4"/>
  <c r="I17" i="4"/>
  <c r="H17" i="4"/>
  <c r="E25" i="4"/>
  <c r="G17" i="4"/>
  <c r="D25" i="4"/>
  <c r="D30" i="4"/>
  <c r="D17" i="4"/>
  <c r="H5" i="2" l="1"/>
  <c r="G5" i="2"/>
  <c r="F5" i="2"/>
  <c r="E5" i="2"/>
  <c r="E6" i="2" s="1"/>
  <c r="D15" i="6" s="1"/>
  <c r="D16" i="4"/>
  <c r="F4" i="2"/>
  <c r="E16" i="4" s="1"/>
  <c r="G4" i="2"/>
  <c r="F16" i="4" s="1"/>
  <c r="H4" i="2"/>
  <c r="G16" i="4" s="1"/>
  <c r="G4" i="7" s="1"/>
  <c r="I4" i="2"/>
  <c r="H16" i="4" s="1"/>
  <c r="H4" i="7" s="1"/>
  <c r="J4" i="2"/>
  <c r="I16" i="4" s="1"/>
  <c r="I4" i="7" s="1"/>
  <c r="F7" i="2" l="1"/>
  <c r="B30" i="7" l="1"/>
  <c r="F26" i="1" l="1"/>
  <c r="C26" i="1"/>
  <c r="B49" i="6"/>
  <c r="D26" i="1" l="1"/>
  <c r="E26" i="1"/>
  <c r="C66" i="3"/>
  <c r="B111" i="3" l="1"/>
  <c r="D53" i="4" s="1"/>
  <c r="B104" i="3"/>
  <c r="C104" i="3" s="1"/>
  <c r="C107" i="3" s="1"/>
  <c r="E50" i="4" s="1"/>
  <c r="B107" i="3" l="1"/>
  <c r="G108" i="3"/>
  <c r="I51" i="4" s="1"/>
  <c r="C108" i="3"/>
  <c r="E51" i="4" s="1"/>
  <c r="C109" i="3"/>
  <c r="E52" i="4" s="1"/>
  <c r="B108" i="3"/>
  <c r="D51" i="4" s="1"/>
  <c r="B109" i="3"/>
  <c r="D52" i="4" s="1"/>
  <c r="D104" i="3"/>
  <c r="C111" i="3"/>
  <c r="E53" i="4" s="1"/>
  <c r="D50" i="4" l="1"/>
  <c r="D49" i="4" s="1"/>
  <c r="D33" i="6"/>
  <c r="E33" i="6" s="1"/>
  <c r="D111" i="3"/>
  <c r="F53" i="4" s="1"/>
  <c r="D108" i="3"/>
  <c r="F51" i="4" s="1"/>
  <c r="F108" i="3"/>
  <c r="H51" i="4" s="1"/>
  <c r="D109" i="3"/>
  <c r="F52" i="4" s="1"/>
  <c r="E108" i="3"/>
  <c r="G51" i="4" s="1"/>
  <c r="D107" i="3"/>
  <c r="F50" i="4" s="1"/>
  <c r="E104" i="3"/>
  <c r="F33" i="6" l="1"/>
  <c r="F28" i="6" s="1"/>
  <c r="E111" i="3"/>
  <c r="G53" i="4" s="1"/>
  <c r="E109" i="3"/>
  <c r="G52" i="4" s="1"/>
  <c r="F104" i="3"/>
  <c r="E107" i="3"/>
  <c r="G50" i="4" s="1"/>
  <c r="G33" i="6" l="1"/>
  <c r="F111" i="3"/>
  <c r="H53" i="4" s="1"/>
  <c r="G109" i="3"/>
  <c r="I52" i="4" s="1"/>
  <c r="F109" i="3"/>
  <c r="H52" i="4" s="1"/>
  <c r="G104" i="3"/>
  <c r="F107" i="3"/>
  <c r="H50" i="4" s="1"/>
  <c r="D82" i="3"/>
  <c r="E82" i="3"/>
  <c r="C72" i="3"/>
  <c r="D72" i="3"/>
  <c r="E72" i="3"/>
  <c r="F72" i="3"/>
  <c r="G72" i="3"/>
  <c r="D66" i="3"/>
  <c r="E66" i="3"/>
  <c r="F66" i="3"/>
  <c r="G66" i="3"/>
  <c r="C61" i="3"/>
  <c r="D61" i="3"/>
  <c r="E61" i="3"/>
  <c r="F61" i="3"/>
  <c r="G61" i="3"/>
  <c r="C53" i="3"/>
  <c r="D53" i="3"/>
  <c r="E53" i="3"/>
  <c r="F53" i="3"/>
  <c r="G53" i="3"/>
  <c r="G49" i="4"/>
  <c r="G5" i="7" s="1"/>
  <c r="E48" i="4"/>
  <c r="F48" i="4"/>
  <c r="G48" i="4"/>
  <c r="H48" i="4"/>
  <c r="I48" i="4"/>
  <c r="F47" i="4"/>
  <c r="G47" i="4"/>
  <c r="F46" i="4"/>
  <c r="G46" i="4"/>
  <c r="E45" i="4"/>
  <c r="F45" i="4"/>
  <c r="G45" i="4"/>
  <c r="H45" i="4"/>
  <c r="I45" i="4"/>
  <c r="D36" i="4"/>
  <c r="D37" i="4"/>
  <c r="D38" i="4"/>
  <c r="D39" i="4"/>
  <c r="D40" i="4"/>
  <c r="D41" i="4"/>
  <c r="D42" i="4"/>
  <c r="D45" i="4"/>
  <c r="D46" i="4"/>
  <c r="D47" i="4"/>
  <c r="D48" i="4"/>
  <c r="E36" i="4"/>
  <c r="F36" i="4"/>
  <c r="F35" i="4" s="1"/>
  <c r="G36" i="4"/>
  <c r="H36" i="4"/>
  <c r="I36" i="4"/>
  <c r="E37" i="4"/>
  <c r="F37" i="4"/>
  <c r="G37" i="4"/>
  <c r="H37" i="4"/>
  <c r="I37" i="4"/>
  <c r="E38" i="4"/>
  <c r="F38" i="4"/>
  <c r="G38" i="4"/>
  <c r="H38" i="4"/>
  <c r="I38" i="4"/>
  <c r="E39" i="4"/>
  <c r="F39" i="4"/>
  <c r="G39" i="4"/>
  <c r="H39" i="4"/>
  <c r="I39" i="4"/>
  <c r="E43" i="4"/>
  <c r="F43" i="4"/>
  <c r="G43" i="4"/>
  <c r="H43" i="4"/>
  <c r="I43" i="4"/>
  <c r="E42" i="4"/>
  <c r="F42" i="4"/>
  <c r="G42" i="4"/>
  <c r="H42" i="4"/>
  <c r="I42" i="4"/>
  <c r="E41" i="4"/>
  <c r="F41" i="4"/>
  <c r="G41" i="4"/>
  <c r="H41" i="4"/>
  <c r="I41" i="4"/>
  <c r="E40" i="4"/>
  <c r="F40" i="4"/>
  <c r="G40" i="4"/>
  <c r="H40" i="4"/>
  <c r="I40" i="4"/>
  <c r="I35" i="4" l="1"/>
  <c r="H35" i="4"/>
  <c r="G35" i="4"/>
  <c r="H33" i="6"/>
  <c r="G28" i="6"/>
  <c r="G44" i="4"/>
  <c r="G10" i="7" s="1"/>
  <c r="F44" i="4"/>
  <c r="D44" i="4"/>
  <c r="D35" i="4"/>
  <c r="H49" i="4"/>
  <c r="H5" i="7" s="1"/>
  <c r="G111" i="3"/>
  <c r="I53" i="4" s="1"/>
  <c r="G107" i="3"/>
  <c r="I50" i="4" s="1"/>
  <c r="E35" i="4"/>
  <c r="I33" i="6" l="1"/>
  <c r="G55" i="4"/>
  <c r="F6" i="2" l="1"/>
  <c r="G6" i="2"/>
  <c r="H6" i="2"/>
  <c r="G15" i="6" s="1"/>
  <c r="I5" i="2"/>
  <c r="I6" i="2" s="1"/>
  <c r="H15" i="6" s="1"/>
  <c r="J5" i="2"/>
  <c r="J6" i="2" s="1"/>
  <c r="I15" i="6" s="1"/>
  <c r="B61" i="3"/>
  <c r="B72" i="3"/>
  <c r="F56" i="2"/>
  <c r="AB12" i="2" s="1"/>
  <c r="G56" i="2"/>
  <c r="AC12" i="2" s="1"/>
  <c r="H56" i="2"/>
  <c r="AD12" i="2" s="1"/>
  <c r="I56" i="2"/>
  <c r="AE12" i="2" s="1"/>
  <c r="F52" i="2"/>
  <c r="AB11" i="2" s="1"/>
  <c r="G52" i="2"/>
  <c r="AC11" i="2" s="1"/>
  <c r="H52" i="2"/>
  <c r="AD11" i="2" s="1"/>
  <c r="I52" i="2"/>
  <c r="AE11" i="2" s="1"/>
  <c r="F48" i="2"/>
  <c r="AB10" i="2" s="1"/>
  <c r="G48" i="2"/>
  <c r="AC10" i="2" s="1"/>
  <c r="H48" i="2"/>
  <c r="AD10" i="2" s="1"/>
  <c r="I48" i="2"/>
  <c r="AE10" i="2" s="1"/>
  <c r="J48" i="2"/>
  <c r="AF10" i="2" s="1"/>
  <c r="F44" i="2"/>
  <c r="AB9" i="2" s="1"/>
  <c r="G44" i="2"/>
  <c r="AC9" i="2" s="1"/>
  <c r="H44" i="2"/>
  <c r="AD9" i="2" s="1"/>
  <c r="I44" i="2"/>
  <c r="AE9" i="2" s="1"/>
  <c r="F40" i="2"/>
  <c r="AB8" i="2" s="1"/>
  <c r="G40" i="2"/>
  <c r="AC8" i="2" s="1"/>
  <c r="H40" i="2"/>
  <c r="AD8" i="2" s="1"/>
  <c r="I40" i="2"/>
  <c r="AE8" i="2" s="1"/>
  <c r="F36" i="2"/>
  <c r="AB7" i="2" s="1"/>
  <c r="G36" i="2"/>
  <c r="AC7" i="2" s="1"/>
  <c r="H36" i="2"/>
  <c r="AD7" i="2" s="1"/>
  <c r="I36" i="2"/>
  <c r="AE7" i="2" s="1"/>
  <c r="F32" i="2"/>
  <c r="AB6" i="2" s="1"/>
  <c r="G32" i="2"/>
  <c r="AC6" i="2" s="1"/>
  <c r="H32" i="2"/>
  <c r="AD6" i="2" s="1"/>
  <c r="I32" i="2"/>
  <c r="AE6" i="2" s="1"/>
  <c r="F28" i="2"/>
  <c r="AB5" i="2" s="1"/>
  <c r="F10" i="2" s="1"/>
  <c r="C10" i="3" s="1"/>
  <c r="G28" i="2"/>
  <c r="AC5" i="2" s="1"/>
  <c r="G10" i="2" s="1"/>
  <c r="D10" i="3" s="1"/>
  <c r="H28" i="2"/>
  <c r="AD5" i="2" s="1"/>
  <c r="F24" i="2"/>
  <c r="G24" i="2"/>
  <c r="H24" i="2"/>
  <c r="G20" i="2"/>
  <c r="F20" i="2"/>
  <c r="H20" i="2"/>
  <c r="W3" i="2" l="1"/>
  <c r="H9" i="2" s="1"/>
  <c r="E12" i="3" s="1"/>
  <c r="U3" i="2"/>
  <c r="F9" i="2" s="1"/>
  <c r="C12" i="3" s="1"/>
  <c r="V3" i="2"/>
  <c r="G9" i="2" s="1"/>
  <c r="D12" i="3" s="1"/>
  <c r="H10" i="2"/>
  <c r="E10" i="3" s="1"/>
  <c r="H7" i="2"/>
  <c r="E52" i="3" s="1"/>
  <c r="E81" i="3" s="1"/>
  <c r="F15" i="6"/>
  <c r="G7" i="2"/>
  <c r="D52" i="3" s="1"/>
  <c r="D81" i="3" s="1"/>
  <c r="E15" i="6"/>
  <c r="P4" i="2"/>
  <c r="H3" i="2"/>
  <c r="E7" i="3" s="1"/>
  <c r="O4" i="2"/>
  <c r="G3" i="2"/>
  <c r="D7" i="3" s="1"/>
  <c r="N4" i="2"/>
  <c r="F3" i="2"/>
  <c r="C7" i="3" s="1"/>
  <c r="J7" i="2"/>
  <c r="I7" i="2"/>
  <c r="G8" i="2" l="1"/>
  <c r="H8" i="2"/>
  <c r="F8" i="2"/>
  <c r="G5" i="4"/>
  <c r="E9" i="3"/>
  <c r="E5" i="4"/>
  <c r="C9" i="3"/>
  <c r="F5" i="4"/>
  <c r="D9" i="3"/>
  <c r="B4" i="7"/>
  <c r="C4" i="7"/>
  <c r="C3" i="7"/>
  <c r="F8" i="4" l="1"/>
  <c r="F10" i="4"/>
  <c r="G10" i="4"/>
  <c r="G8" i="4"/>
  <c r="G56" i="4" s="1"/>
  <c r="G3" i="7"/>
  <c r="D11" i="3"/>
  <c r="D13" i="3" s="1"/>
  <c r="E14" i="3" s="1"/>
  <c r="D103" i="3"/>
  <c r="E11" i="3"/>
  <c r="E103" i="3"/>
  <c r="C11" i="3"/>
  <c r="A48" i="4"/>
  <c r="A43" i="4"/>
  <c r="E8" i="4"/>
  <c r="C8" i="4"/>
  <c r="B8" i="4"/>
  <c r="E65" i="4"/>
  <c r="F65" i="4"/>
  <c r="G65" i="4"/>
  <c r="H65" i="4"/>
  <c r="C10" i="7"/>
  <c r="B44" i="4"/>
  <c r="B10" i="7" s="1"/>
  <c r="G66" i="4" l="1"/>
  <c r="C13" i="3"/>
  <c r="D14" i="3" s="1"/>
  <c r="D25" i="3" s="1"/>
  <c r="E13" i="3"/>
  <c r="F14" i="3" s="1"/>
  <c r="G9" i="6" s="1"/>
  <c r="H11" i="7"/>
  <c r="D96" i="3"/>
  <c r="G11" i="7"/>
  <c r="G12" i="7" s="1"/>
  <c r="E96" i="3"/>
  <c r="G64" i="4"/>
  <c r="G6" i="7"/>
  <c r="N10" i="8" s="1"/>
  <c r="F9" i="6"/>
  <c r="E25" i="3" l="1"/>
  <c r="E9" i="6"/>
  <c r="G13" i="7"/>
  <c r="G67" i="6"/>
  <c r="G16" i="7"/>
  <c r="N5" i="8" s="1"/>
  <c r="G7" i="7"/>
  <c r="F55" i="6"/>
  <c r="C49" i="4"/>
  <c r="B49" i="4"/>
  <c r="B5" i="7" s="1"/>
  <c r="C35" i="4"/>
  <c r="B35" i="4"/>
  <c r="C68" i="6"/>
  <c r="B68" i="6"/>
  <c r="C55" i="6"/>
  <c r="B55" i="6"/>
  <c r="C34" i="6"/>
  <c r="B34" i="6"/>
  <c r="C28" i="6"/>
  <c r="B28" i="6"/>
  <c r="C14" i="6"/>
  <c r="B14" i="6"/>
  <c r="C8" i="6"/>
  <c r="B8" i="6"/>
  <c r="C55" i="4" l="1"/>
  <c r="C56" i="4" s="1"/>
  <c r="C66" i="4" s="1"/>
  <c r="B37" i="6"/>
  <c r="G55" i="6"/>
  <c r="B55" i="4"/>
  <c r="C5" i="7"/>
  <c r="C37" i="6"/>
  <c r="B45" i="6"/>
  <c r="C45" i="6"/>
  <c r="B21" i="6"/>
  <c r="C21" i="6"/>
  <c r="B66" i="4" l="1"/>
  <c r="C59" i="6"/>
  <c r="C19" i="7"/>
  <c r="I6" i="8" s="1"/>
  <c r="C18" i="7"/>
  <c r="C20" i="7"/>
  <c r="B59" i="6"/>
  <c r="B19" i="7"/>
  <c r="H6" i="8" s="1"/>
  <c r="B18" i="7"/>
  <c r="B20" i="7"/>
  <c r="B11" i="7"/>
  <c r="B3" i="7"/>
  <c r="J6" i="8" l="1"/>
  <c r="C31" i="7"/>
  <c r="I8" i="8"/>
  <c r="B31" i="7"/>
  <c r="H8" i="8"/>
  <c r="B6" i="7"/>
  <c r="B37" i="7"/>
  <c r="B29" i="7"/>
  <c r="C37" i="7"/>
  <c r="C29" i="7"/>
  <c r="B70" i="6"/>
  <c r="B26" i="7"/>
  <c r="C70" i="6"/>
  <c r="C26" i="7"/>
  <c r="B39" i="6"/>
  <c r="B28" i="7" s="1"/>
  <c r="B12" i="7"/>
  <c r="J8" i="8" l="1"/>
  <c r="B13" i="7"/>
  <c r="H10" i="8"/>
  <c r="B17" i="7"/>
  <c r="B25" i="7"/>
  <c r="B16" i="7"/>
  <c r="H5" i="8" s="1"/>
  <c r="B23" i="7"/>
  <c r="B24" i="7"/>
  <c r="B27" i="7"/>
  <c r="B8" i="7"/>
  <c r="B32" i="7" l="1"/>
  <c r="H7" i="8"/>
  <c r="B7" i="7"/>
  <c r="B21" i="7"/>
  <c r="B33" i="7" s="1"/>
  <c r="B22" i="7"/>
  <c r="B34" i="7" l="1"/>
  <c r="H9" i="8"/>
  <c r="A54" i="4"/>
  <c r="A45" i="4"/>
  <c r="A39" i="4"/>
  <c r="A38" i="4"/>
  <c r="A37" i="4"/>
  <c r="D20" i="6" l="1"/>
  <c r="E20" i="6" s="1"/>
  <c r="F20" i="6" s="1"/>
  <c r="G20" i="6" s="1"/>
  <c r="H20" i="6" s="1"/>
  <c r="I20" i="6" s="1"/>
  <c r="I11" i="7" l="1"/>
  <c r="A47" i="4"/>
  <c r="A46" i="4"/>
  <c r="A41" i="4"/>
  <c r="A36" i="4"/>
  <c r="B100" i="3"/>
  <c r="D61" i="4"/>
  <c r="I47" i="4"/>
  <c r="H47" i="4"/>
  <c r="J56" i="2"/>
  <c r="AF12" i="2" s="1"/>
  <c r="E56" i="2"/>
  <c r="AA12" i="2" s="1"/>
  <c r="J52" i="2"/>
  <c r="AF11" i="2" s="1"/>
  <c r="E52" i="2"/>
  <c r="AA11" i="2" s="1"/>
  <c r="E48" i="2"/>
  <c r="AA10" i="2" s="1"/>
  <c r="J44" i="2"/>
  <c r="AF9" i="2" s="1"/>
  <c r="E44" i="2"/>
  <c r="AA9" i="2" s="1"/>
  <c r="J40" i="2"/>
  <c r="AF8" i="2" s="1"/>
  <c r="E40" i="2"/>
  <c r="AA8" i="2" s="1"/>
  <c r="J36" i="2"/>
  <c r="AF7" i="2" s="1"/>
  <c r="E36" i="2"/>
  <c r="AA7" i="2" s="1"/>
  <c r="J32" i="2"/>
  <c r="AF6" i="2" s="1"/>
  <c r="E32" i="2"/>
  <c r="AA6" i="2" s="1"/>
  <c r="J28" i="2"/>
  <c r="AF5" i="2" s="1"/>
  <c r="I28" i="2"/>
  <c r="AE5" i="2" s="1"/>
  <c r="I10" i="2" s="1"/>
  <c r="F10" i="3" s="1"/>
  <c r="E28" i="2"/>
  <c r="AA5" i="2" s="1"/>
  <c r="J24" i="2"/>
  <c r="I24" i="2"/>
  <c r="E24" i="2"/>
  <c r="J20" i="2"/>
  <c r="I20" i="2"/>
  <c r="E20" i="2"/>
  <c r="T3" i="2" s="1"/>
  <c r="E9" i="2" s="1"/>
  <c r="C52" i="3"/>
  <c r="F4" i="7"/>
  <c r="Y3" i="2" l="1"/>
  <c r="J9" i="2" s="1"/>
  <c r="G12" i="3" s="1"/>
  <c r="C81" i="3"/>
  <c r="C103" i="3" s="1"/>
  <c r="X3" i="2"/>
  <c r="I9" i="2" s="1"/>
  <c r="F12" i="3" s="1"/>
  <c r="J10" i="2"/>
  <c r="G10" i="3" s="1"/>
  <c r="E10" i="2"/>
  <c r="B10" i="3" s="1"/>
  <c r="B12" i="3"/>
  <c r="R4" i="2"/>
  <c r="J8" i="2" s="1"/>
  <c r="G11" i="3" s="1"/>
  <c r="J3" i="2"/>
  <c r="G7" i="3" s="1"/>
  <c r="Q4" i="2"/>
  <c r="I3" i="2"/>
  <c r="F7" i="3" s="1"/>
  <c r="M4" i="2"/>
  <c r="E8" i="2" s="1"/>
  <c r="E3" i="2"/>
  <c r="E46" i="4"/>
  <c r="F82" i="3"/>
  <c r="H46" i="4"/>
  <c r="G82" i="3"/>
  <c r="I46" i="4"/>
  <c r="I44" i="4" s="1"/>
  <c r="I10" i="7" s="1"/>
  <c r="D4" i="7"/>
  <c r="E7" i="2"/>
  <c r="B52" i="3" s="1"/>
  <c r="F11" i="7"/>
  <c r="F10" i="7"/>
  <c r="B66" i="3"/>
  <c r="B53" i="3"/>
  <c r="C11" i="7"/>
  <c r="F3" i="7"/>
  <c r="D36" i="6"/>
  <c r="E36" i="6" s="1"/>
  <c r="F36" i="6" s="1"/>
  <c r="G36" i="6" s="1"/>
  <c r="H36" i="6" s="1"/>
  <c r="I36" i="6" s="1"/>
  <c r="C39" i="6"/>
  <c r="E4" i="7"/>
  <c r="D11" i="7"/>
  <c r="F52" i="3"/>
  <c r="F81" i="3" s="1"/>
  <c r="G52" i="3"/>
  <c r="G81" i="3" s="1"/>
  <c r="E11" i="7"/>
  <c r="E47" i="6"/>
  <c r="F47" i="6" s="1"/>
  <c r="G47" i="6" s="1"/>
  <c r="H47" i="6" s="1"/>
  <c r="I47" i="6" s="1"/>
  <c r="E47" i="4"/>
  <c r="G13" i="3" l="1"/>
  <c r="B81" i="3"/>
  <c r="B103" i="3" s="1"/>
  <c r="I12" i="7"/>
  <c r="F34" i="6"/>
  <c r="F37" i="6" s="1"/>
  <c r="H44" i="4"/>
  <c r="E44" i="4"/>
  <c r="E46" i="6"/>
  <c r="B11" i="3"/>
  <c r="B13" i="3" s="1"/>
  <c r="I8" i="2"/>
  <c r="C82" i="3"/>
  <c r="H5" i="4"/>
  <c r="H10" i="4" s="1"/>
  <c r="F9" i="3"/>
  <c r="I5" i="4"/>
  <c r="I10" i="4" s="1"/>
  <c r="G9" i="3"/>
  <c r="E3" i="7"/>
  <c r="B7" i="3"/>
  <c r="C28" i="7"/>
  <c r="C17" i="7"/>
  <c r="C6" i="7"/>
  <c r="C25" i="7"/>
  <c r="F12" i="7"/>
  <c r="B82" i="3"/>
  <c r="D10" i="7" s="1"/>
  <c r="D12" i="7" s="1"/>
  <c r="E55" i="6"/>
  <c r="D55" i="6"/>
  <c r="D34" i="6"/>
  <c r="C27" i="7"/>
  <c r="C8" i="7"/>
  <c r="C24" i="7"/>
  <c r="D28" i="6"/>
  <c r="C12" i="7"/>
  <c r="G103" i="3" l="1"/>
  <c r="G96" i="3" s="1"/>
  <c r="H14" i="3"/>
  <c r="I9" i="6" s="1"/>
  <c r="C13" i="7"/>
  <c r="I10" i="8"/>
  <c r="C32" i="7"/>
  <c r="I7" i="8"/>
  <c r="J7" i="8" s="1"/>
  <c r="F11" i="3"/>
  <c r="F103" i="3"/>
  <c r="C96" i="3"/>
  <c r="I8" i="4"/>
  <c r="I3" i="7"/>
  <c r="H8" i="4"/>
  <c r="H3" i="7"/>
  <c r="H55" i="4"/>
  <c r="H10" i="7"/>
  <c r="G34" i="6"/>
  <c r="G37" i="6" s="1"/>
  <c r="F46" i="6"/>
  <c r="F45" i="6" s="1"/>
  <c r="I49" i="4"/>
  <c r="F49" i="4"/>
  <c r="F55" i="4" s="1"/>
  <c r="F56" i="4" s="1"/>
  <c r="F66" i="4" s="1"/>
  <c r="E10" i="7"/>
  <c r="E12" i="7" s="1"/>
  <c r="D55" i="4"/>
  <c r="B9" i="3"/>
  <c r="B25" i="3" s="1"/>
  <c r="C23" i="7"/>
  <c r="C21" i="7" s="1"/>
  <c r="C33" i="7" s="1"/>
  <c r="C16" i="7"/>
  <c r="I5" i="8" s="1"/>
  <c r="J5" i="8" s="1"/>
  <c r="E49" i="4"/>
  <c r="E5" i="7" s="1"/>
  <c r="H55" i="6"/>
  <c r="D37" i="6"/>
  <c r="C22" i="7"/>
  <c r="C7" i="7"/>
  <c r="D5" i="4"/>
  <c r="I34" i="6"/>
  <c r="J10" i="8" l="1"/>
  <c r="D10" i="4"/>
  <c r="E10" i="4"/>
  <c r="F13" i="3"/>
  <c r="G14" i="3" s="1"/>
  <c r="G25" i="3" s="1"/>
  <c r="C14" i="3"/>
  <c r="C25" i="3" s="1"/>
  <c r="C34" i="7"/>
  <c r="I9" i="8"/>
  <c r="J9" i="8" s="1"/>
  <c r="F96" i="3"/>
  <c r="H56" i="4"/>
  <c r="H66" i="4" s="1"/>
  <c r="H12" i="7"/>
  <c r="I55" i="4"/>
  <c r="I56" i="4" s="1"/>
  <c r="I5" i="7"/>
  <c r="F59" i="6"/>
  <c r="F64" i="4"/>
  <c r="F67" i="6" s="1"/>
  <c r="D12" i="6"/>
  <c r="E12" i="6" s="1"/>
  <c r="F12" i="6" s="1"/>
  <c r="G12" i="6" s="1"/>
  <c r="B96" i="3"/>
  <c r="B98" i="3" s="1"/>
  <c r="C4" i="3" s="1"/>
  <c r="D14" i="6"/>
  <c r="G46" i="6"/>
  <c r="G45" i="6" s="1"/>
  <c r="F5" i="7"/>
  <c r="E55" i="4"/>
  <c r="E56" i="4" s="1"/>
  <c r="E66" i="4" s="1"/>
  <c r="D3" i="7"/>
  <c r="D5" i="7"/>
  <c r="D8" i="4"/>
  <c r="D56" i="4" s="1"/>
  <c r="D66" i="4" s="1"/>
  <c r="I55" i="6"/>
  <c r="E34" i="6"/>
  <c r="H34" i="6"/>
  <c r="E28" i="6"/>
  <c r="F25" i="3" l="1"/>
  <c r="H9" i="6"/>
  <c r="I6" i="7"/>
  <c r="I13" i="7" s="1"/>
  <c r="I66" i="4"/>
  <c r="H12" i="6"/>
  <c r="I12" i="6" s="1"/>
  <c r="H64" i="4"/>
  <c r="H7" i="7" s="1"/>
  <c r="H6" i="7"/>
  <c r="I64" i="4"/>
  <c r="G59" i="6"/>
  <c r="E64" i="4"/>
  <c r="E67" i="6" s="1"/>
  <c r="F14" i="6"/>
  <c r="D9" i="6"/>
  <c r="I46" i="6"/>
  <c r="H46" i="6"/>
  <c r="F6" i="7"/>
  <c r="M10" i="8" s="1"/>
  <c r="E6" i="7"/>
  <c r="L10" i="8" s="1"/>
  <c r="E37" i="6"/>
  <c r="E14" i="6"/>
  <c r="I28" i="6"/>
  <c r="I37" i="6" s="1"/>
  <c r="H28" i="6"/>
  <c r="H37" i="6" s="1"/>
  <c r="H67" i="6" l="1"/>
  <c r="H16" i="7"/>
  <c r="H13" i="7"/>
  <c r="E13" i="7"/>
  <c r="F13" i="7"/>
  <c r="I67" i="6"/>
  <c r="I7" i="7"/>
  <c r="I16" i="7"/>
  <c r="G14" i="6"/>
  <c r="D6" i="7"/>
  <c r="D64" i="4"/>
  <c r="E16" i="7"/>
  <c r="L5" i="8" s="1"/>
  <c r="F16" i="7"/>
  <c r="M5" i="8" s="1"/>
  <c r="E7" i="7"/>
  <c r="F7" i="7"/>
  <c r="D13" i="7" l="1"/>
  <c r="K10" i="8"/>
  <c r="O10" i="8" s="1"/>
  <c r="P10" i="8" s="1"/>
  <c r="I14" i="6"/>
  <c r="H14" i="6"/>
  <c r="D7" i="7"/>
  <c r="D67" i="6"/>
  <c r="E66" i="6" s="1"/>
  <c r="F66" i="6" s="1"/>
  <c r="D16" i="7"/>
  <c r="K5" i="8" s="1"/>
  <c r="O5" i="8" l="1"/>
  <c r="P5" i="8" s="1"/>
  <c r="G66" i="6"/>
  <c r="F68" i="6"/>
  <c r="D68" i="6"/>
  <c r="F70" i="6" l="1"/>
  <c r="F26" i="7"/>
  <c r="H66" i="6"/>
  <c r="I66" i="6" s="1"/>
  <c r="I68" i="6" s="1"/>
  <c r="G68" i="6"/>
  <c r="E68" i="6"/>
  <c r="D8" i="6"/>
  <c r="H68" i="6" l="1"/>
  <c r="G70" i="6"/>
  <c r="G26" i="7"/>
  <c r="F8" i="6"/>
  <c r="E8" i="6"/>
  <c r="I8" i="6" l="1"/>
  <c r="G8" i="6"/>
  <c r="H8" i="6" l="1"/>
  <c r="D49" i="6" l="1"/>
  <c r="D45" i="6" s="1"/>
  <c r="D59" i="6" s="1"/>
  <c r="D70" i="6" l="1"/>
  <c r="D26" i="7"/>
  <c r="E45" i="6"/>
  <c r="E59" i="6" s="1"/>
  <c r="E70" i="6" l="1"/>
  <c r="E26" i="7"/>
  <c r="H45" i="6"/>
  <c r="H59" i="6" l="1"/>
  <c r="H26" i="7" s="1"/>
  <c r="I45" i="6"/>
  <c r="H70" i="6" l="1"/>
  <c r="I59" i="6"/>
  <c r="I26" i="7" s="1"/>
  <c r="D6" i="6"/>
  <c r="I70" i="6" l="1"/>
  <c r="D20" i="7"/>
  <c r="C98" i="3"/>
  <c r="D4" i="3" s="1"/>
  <c r="D31" i="7" l="1"/>
  <c r="K8" i="8"/>
  <c r="D98" i="3"/>
  <c r="E4" i="3" s="1"/>
  <c r="D21" i="6"/>
  <c r="E6" i="6" l="1"/>
  <c r="E20" i="7" s="1"/>
  <c r="F6" i="6"/>
  <c r="D19" i="7"/>
  <c r="K6" i="8" s="1"/>
  <c r="D18" i="7"/>
  <c r="D39" i="6"/>
  <c r="E31" i="7" l="1"/>
  <c r="L8" i="8"/>
  <c r="F21" i="6"/>
  <c r="F20" i="7"/>
  <c r="M8" i="8" s="1"/>
  <c r="E21" i="6"/>
  <c r="E19" i="7" s="1"/>
  <c r="L6" i="8" s="1"/>
  <c r="E98" i="3"/>
  <c r="F4" i="3" s="1"/>
  <c r="D37" i="7"/>
  <c r="D29" i="7"/>
  <c r="D25" i="7"/>
  <c r="D23" i="7"/>
  <c r="D17" i="7"/>
  <c r="D28" i="7"/>
  <c r="D24" i="7"/>
  <c r="D8" i="7"/>
  <c r="D27" i="7"/>
  <c r="D32" i="7" l="1"/>
  <c r="K7" i="8"/>
  <c r="F39" i="6"/>
  <c r="F28" i="7" s="1"/>
  <c r="F18" i="7"/>
  <c r="F19" i="7"/>
  <c r="M6" i="8" s="1"/>
  <c r="E18" i="7"/>
  <c r="E29" i="7" s="1"/>
  <c r="E39" i="6"/>
  <c r="E28" i="7" s="1"/>
  <c r="G6" i="6"/>
  <c r="D21" i="7"/>
  <c r="D33" i="7" s="1"/>
  <c r="D22" i="7"/>
  <c r="D34" i="7" l="1"/>
  <c r="K9" i="8"/>
  <c r="G21" i="6"/>
  <c r="G20" i="7"/>
  <c r="N8" i="8" s="1"/>
  <c r="O8" i="8" s="1"/>
  <c r="P8" i="8" s="1"/>
  <c r="F8" i="7"/>
  <c r="F25" i="7"/>
  <c r="F23" i="7"/>
  <c r="F27" i="7"/>
  <c r="F24" i="7"/>
  <c r="F17" i="7"/>
  <c r="M7" i="8" s="1"/>
  <c r="F98" i="3"/>
  <c r="E37" i="7"/>
  <c r="E27" i="7"/>
  <c r="E24" i="7"/>
  <c r="E17" i="7"/>
  <c r="E23" i="7"/>
  <c r="E25" i="7"/>
  <c r="E8" i="7"/>
  <c r="H6" i="6" l="1"/>
  <c r="H20" i="7" s="1"/>
  <c r="H31" i="7" s="1"/>
  <c r="G4" i="3"/>
  <c r="G98" i="3" s="1"/>
  <c r="I6" i="6" s="1"/>
  <c r="I20" i="7" s="1"/>
  <c r="I31" i="7" s="1"/>
  <c r="E32" i="7"/>
  <c r="L7" i="8"/>
  <c r="F21" i="7"/>
  <c r="G39" i="6"/>
  <c r="G28" i="7" s="1"/>
  <c r="G18" i="7"/>
  <c r="G19" i="7"/>
  <c r="N6" i="8" s="1"/>
  <c r="E21" i="7"/>
  <c r="E33" i="7" s="1"/>
  <c r="E22" i="7"/>
  <c r="F31" i="7"/>
  <c r="H21" i="6" l="1"/>
  <c r="H39" i="6" s="1"/>
  <c r="H28" i="7" s="1"/>
  <c r="O6" i="8"/>
  <c r="P6" i="8" s="1"/>
  <c r="E34" i="7"/>
  <c r="L9" i="8"/>
  <c r="G23" i="7"/>
  <c r="G25" i="7"/>
  <c r="G27" i="7"/>
  <c r="G24" i="7"/>
  <c r="G8" i="7"/>
  <c r="G17" i="7"/>
  <c r="N7" i="8" s="1"/>
  <c r="O7" i="8" s="1"/>
  <c r="P7" i="8" s="1"/>
  <c r="F29" i="7"/>
  <c r="G31" i="7"/>
  <c r="I21" i="6"/>
  <c r="F32" i="7"/>
  <c r="H19" i="7" l="1"/>
  <c r="H18" i="7"/>
  <c r="H29" i="7" s="1"/>
  <c r="P12" i="8"/>
  <c r="P15" i="8" s="1"/>
  <c r="G21" i="7"/>
  <c r="I39" i="6"/>
  <c r="I28" i="7" s="1"/>
  <c r="I18" i="7"/>
  <c r="I19" i="7"/>
  <c r="H8" i="7"/>
  <c r="H23" i="7"/>
  <c r="H25" i="7"/>
  <c r="H27" i="7"/>
  <c r="H24" i="7"/>
  <c r="H17" i="7"/>
  <c r="H32" i="7" s="1"/>
  <c r="G37" i="7"/>
  <c r="F37" i="7"/>
  <c r="F33" i="7"/>
  <c r="F22" i="7"/>
  <c r="G32" i="7"/>
  <c r="H37" i="7" l="1"/>
  <c r="F34" i="7"/>
  <c r="M9" i="8"/>
  <c r="H22" i="7"/>
  <c r="H34" i="7" s="1"/>
  <c r="I29" i="7"/>
  <c r="I37" i="7"/>
  <c r="H21" i="7"/>
  <c r="H33" i="7" s="1"/>
  <c r="I25" i="7"/>
  <c r="I24" i="7"/>
  <c r="I8" i="7"/>
  <c r="I23" i="7"/>
  <c r="I27" i="7"/>
  <c r="I17" i="7"/>
  <c r="I32" i="7" s="1"/>
  <c r="G29" i="7"/>
  <c r="G33" i="7"/>
  <c r="G22" i="7"/>
  <c r="G34" i="7" l="1"/>
  <c r="N9" i="8"/>
  <c r="I22" i="7"/>
  <c r="I34" i="7" s="1"/>
  <c r="I21" i="7"/>
  <c r="I3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Janek Maasik</author>
  </authors>
  <commentList>
    <comment ref="A16" authorId="0" shapeId="0" xr:uid="{2CB8E5B0-E941-47E1-9CC0-796BE8BFC51D}">
      <text>
        <r>
          <rPr>
            <sz val="9"/>
            <color indexed="81"/>
            <rFont val="Tahoma"/>
            <family val="2"/>
          </rPr>
          <t xml:space="preserve">Siia märkida andmed üksnes kapitalirendiga soetatud investeeringute kohta. Muul viisil soetatud investeeringud tuleb märkida kassavoogude lehel
</t>
        </r>
      </text>
    </comment>
    <comment ref="G18" authorId="0" shapeId="0" xr:uid="{86DFCCE1-05CB-4D0B-9ED2-3E14F3DA1DCC}">
      <text>
        <r>
          <rPr>
            <b/>
            <sz val="9"/>
            <color indexed="81"/>
            <rFont val="Tahoma"/>
            <family val="2"/>
          </rPr>
          <t>lisada summa ilma KM-ta</t>
        </r>
      </text>
    </comment>
    <comment ref="H18" authorId="0" shapeId="0" xr:uid="{AC46DBA3-2774-4D31-BD8C-FE37D44488F4}">
      <text>
        <r>
          <rPr>
            <b/>
            <sz val="9"/>
            <color indexed="81"/>
            <rFont val="Tahoma"/>
            <family val="2"/>
          </rPr>
          <t>lisada summa ilma KM-ta</t>
        </r>
        <r>
          <rPr>
            <sz val="9"/>
            <color indexed="81"/>
            <rFont val="Tahoma"/>
            <family val="2"/>
          </rPr>
          <t xml:space="preserve">
</t>
        </r>
      </text>
    </comment>
    <comment ref="I18" authorId="0" shapeId="0" xr:uid="{9712E265-2C81-4F9B-8640-4F5B26C42223}">
      <text>
        <r>
          <rPr>
            <b/>
            <sz val="9"/>
            <color indexed="81"/>
            <rFont val="Tahoma"/>
            <family val="2"/>
          </rPr>
          <t>lisada summa ilma KM-ta</t>
        </r>
      </text>
    </comment>
    <comment ref="J18" authorId="0" shapeId="0" xr:uid="{E1C584BD-0A86-45A3-820D-1DF4C92E6873}">
      <text>
        <r>
          <rPr>
            <b/>
            <sz val="9"/>
            <color indexed="81"/>
            <rFont val="Tahoma"/>
            <family val="2"/>
          </rPr>
          <t>lisada summa ilma KM-ta</t>
        </r>
        <r>
          <rPr>
            <sz val="9"/>
            <color indexed="81"/>
            <rFont val="Tahoma"/>
            <family val="2"/>
          </rPr>
          <t xml:space="preserve">
</t>
        </r>
      </text>
    </comment>
    <comment ref="K18" authorId="0" shapeId="0" xr:uid="{9C3CEB96-21D9-45C5-90E8-88CCEC6C001B}">
      <text>
        <r>
          <rPr>
            <b/>
            <sz val="9"/>
            <color indexed="81"/>
            <rFont val="Tahoma"/>
            <family val="2"/>
          </rPr>
          <t>lisada summa ilma KM-ta</t>
        </r>
        <r>
          <rPr>
            <sz val="9"/>
            <color indexed="81"/>
            <rFont val="Tahoma"/>
            <family val="2"/>
          </rPr>
          <t xml:space="preserve">
</t>
        </r>
      </text>
    </comment>
    <comment ref="L18" authorId="0" shapeId="0" xr:uid="{00C0C246-EC4C-4FBF-81CB-BC2B191CB251}">
      <text>
        <r>
          <rPr>
            <b/>
            <sz val="9"/>
            <color indexed="81"/>
            <rFont val="Tahoma"/>
            <family val="2"/>
          </rPr>
          <t>lisada summa ilma KM-ta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Marje Leppik</author>
  </authors>
  <commentList>
    <comment ref="M2" authorId="0" shapeId="0" xr:uid="{00000000-0006-0000-0100-000001000000}">
      <text>
        <r>
          <rPr>
            <b/>
            <sz val="9"/>
            <color indexed="81"/>
            <rFont val="Tahoma"/>
            <family val="2"/>
          </rPr>
          <t>9% km käive</t>
        </r>
        <r>
          <rPr>
            <sz val="9"/>
            <color indexed="81"/>
            <rFont val="Tahoma"/>
            <family val="2"/>
          </rPr>
          <t xml:space="preserve">
</t>
        </r>
      </text>
    </comment>
    <comment ref="B4" authorId="0" shapeId="0" xr:uid="{00000000-0006-0000-0100-000002000000}">
      <text>
        <r>
          <rPr>
            <sz val="9"/>
            <color indexed="81"/>
            <rFont val="Tahoma"/>
            <family val="2"/>
          </rPr>
          <t xml:space="preserve">Kogus*kulu ühikule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Marje Leppik</author>
    <author>Janek Maasik</author>
  </authors>
  <commentList>
    <comment ref="A9" authorId="0" shapeId="0" xr:uid="{00000000-0006-0000-0200-000001000000}">
      <text>
        <r>
          <rPr>
            <sz val="9"/>
            <color indexed="81"/>
            <rFont val="Tahoma"/>
            <family val="2"/>
          </rPr>
          <t>Arvestades krediiti müüki algandmete tabelis</t>
        </r>
      </text>
    </comment>
    <comment ref="A14" authorId="0" shapeId="0" xr:uid="{00000000-0006-0000-0200-000002000000}">
      <text>
        <r>
          <rPr>
            <sz val="9"/>
            <color indexed="81"/>
            <rFont val="Tahoma"/>
            <family val="2"/>
          </rPr>
          <t>Eelduseks on võetud, et aasta lõpuks ostjate võlgnevus tasutakse järgmise aasta jooksul</t>
        </r>
      </text>
    </comment>
    <comment ref="B14" authorId="0" shapeId="0" xr:uid="{00000000-0006-0000-0200-000003000000}">
      <text>
        <r>
          <rPr>
            <sz val="9"/>
            <color indexed="81"/>
            <rFont val="Tahoma"/>
            <family val="2"/>
          </rPr>
          <t>2023 bilansis ostjate võlg</t>
        </r>
      </text>
    </comment>
    <comment ref="A15" authorId="0" shapeId="0" xr:uid="{00000000-0006-0000-0200-000004000000}">
      <text>
        <r>
          <rPr>
            <sz val="9"/>
            <color indexed="81"/>
            <rFont val="Tahoma"/>
            <family val="2"/>
          </rPr>
          <t xml:space="preserve">Ebaregulaarselt äritegevuse käigus tekkivad tulud, sh kasum
materiaalsete ja immateriaalsete põhivarade ning
kinnisvarainvesteeringute müügist; kasum
kinnisvarainvesteeringute väärtuse muutusest; saadud trahvid
ja viivised; netokasum valuutakursimuutustest nõuetelt ostjate
vastu ja kohustustelt tarnijate ees (juhul kui tulemuseks on
netokahjum, kajastatakse see kirjel “Muud ärikulud”) </t>
        </r>
      </text>
    </comment>
    <comment ref="A16" authorId="0" shapeId="0" xr:uid="{00000000-0006-0000-0200-000005000000}">
      <text>
        <r>
          <rPr>
            <sz val="9"/>
            <color indexed="81"/>
            <rFont val="Tahoma"/>
            <family val="2"/>
          </rPr>
          <t xml:space="preserve">Kasum (kahjum) finantseerimis- ja investeerimistegevusega
seotud välisvaluutas fikseeritud nõuete ja kohustiste (näit. antud
ja saadud laenud) valuutakursside muutustest, intressitulud ja muud finantstulud ja –kulud, mis ei ole seotud tütar- ja
sidusettevõtjatega ning muude finantsinvesteeringutega  </t>
        </r>
      </text>
    </comment>
    <comment ref="A29" authorId="1" shapeId="0" xr:uid="{3A129F53-C8C5-448B-A078-DBD675520ACE}">
      <text>
        <r>
          <rPr>
            <sz val="9"/>
            <color indexed="81"/>
            <rFont val="Tahoma"/>
            <family val="2"/>
          </rPr>
          <t xml:space="preserve">tuleks kajastada vaid sellist varude soetamist (juhul kui on), mis ei kajastu nt juba kaubad müügiks real
</t>
        </r>
      </text>
    </comment>
    <comment ref="A31" authorId="1" shapeId="0" xr:uid="{612E4985-E718-454B-924C-301062BDD074}">
      <text>
        <r>
          <rPr>
            <sz val="9"/>
            <color indexed="81"/>
            <rFont val="Tahoma"/>
            <family val="2"/>
          </rPr>
          <t>tuleks kajastada tehtud ettemakseid</t>
        </r>
        <r>
          <rPr>
            <sz val="9"/>
            <color indexed="81"/>
            <rFont val="Tahoma"/>
            <family val="2"/>
          </rPr>
          <t xml:space="preserve">
</t>
        </r>
      </text>
    </comment>
    <comment ref="A38" authorId="0" shapeId="0" xr:uid="{00000000-0006-0000-0200-000006000000}">
      <text>
        <r>
          <rPr>
            <sz val="9"/>
            <color indexed="81"/>
            <rFont val="Tahoma"/>
            <family val="2"/>
          </rPr>
          <t>Kinnisvarainvesteering on kinnisvaraobjekt (maa või hoone või osa hoonest või mõlemad),
mida hoitakse (kas omanikuna või kapitalirendi tingimustel rendituna) eelkõige renditulu
teenimise, väärtuse kasvu või mõlemal eesmärgil, mitte aga kasutamiseks toodete tootmisel
või teenuste osutamisel, halduseesmärkidel või müügiks tavapärase äritegevuse käigus</t>
        </r>
      </text>
    </comment>
    <comment ref="A44" authorId="0" shapeId="0" xr:uid="{00000000-0006-0000-0200-000007000000}">
      <text>
        <r>
          <rPr>
            <sz val="9"/>
            <color indexed="81"/>
            <rFont val="Tahoma"/>
            <family val="2"/>
          </rPr>
          <t>(tootmisseadmed,
transpordivahendid ja muud
seadmed)</t>
        </r>
      </text>
    </comment>
    <comment ref="A46" authorId="0" shapeId="0" xr:uid="{00000000-0006-0000-0200-000008000000}">
      <text>
        <r>
          <rPr>
            <sz val="9"/>
            <color indexed="81"/>
            <rFont val="Tahoma"/>
            <family val="2"/>
          </rPr>
          <t>(inventar, mööbel,
kontoritehnika)</t>
        </r>
      </text>
    </comment>
    <comment ref="A48" authorId="0" shapeId="0" xr:uid="{00000000-0006-0000-0200-000009000000}">
      <text>
        <r>
          <rPr>
            <sz val="9"/>
            <color indexed="81"/>
            <rFont val="Tahoma"/>
            <family val="2"/>
          </rPr>
          <t xml:space="preserve">Immateriaalsed põhivarad vastavalt
RTJ 5 definitsioonile. </t>
        </r>
      </text>
    </comment>
    <comment ref="A52" authorId="0" shapeId="0" xr:uid="{00000000-0006-0000-0200-00000A000000}">
      <text>
        <r>
          <rPr>
            <sz val="9"/>
            <color indexed="81"/>
            <rFont val="Tahoma"/>
            <family val="2"/>
          </rPr>
          <t>Otseselt põhitegevuse (näit. tootmis- või müügitegevuse) eesmärgil ostetud kaupade, toorme, materjalide ja teenuste kulu</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Marje Leppik</author>
  </authors>
  <commentList>
    <comment ref="A5" authorId="0" shapeId="0" xr:uid="{00000000-0006-0000-0300-000001000000}">
      <text>
        <r>
          <rPr>
            <sz val="9"/>
            <color indexed="81"/>
            <rFont val="Tahoma"/>
            <family val="2"/>
          </rPr>
          <t>Aruandeperioodil toodete, kaupade ja teenuste müügist
saadud tulu</t>
        </r>
      </text>
    </comment>
    <comment ref="A6" authorId="0" shapeId="0" xr:uid="{00000000-0006-0000-0300-000002000000}">
      <text>
        <r>
          <rPr>
            <sz val="9"/>
            <color indexed="81"/>
            <rFont val="Tahoma"/>
            <family val="2"/>
          </rPr>
          <t xml:space="preserve">Ebaregulaarselt äritegevuse käigus tekkivad tulud, sh kasum
materiaalsete ja immateriaalsete põhivarade ning
kinnisvarainvesteeringute müügist; kasum
kinnisvarainvesteeringute väärtuse muutusest; saadud trahvid
ja viivised; netokasum valuutakursimuutustest nõuetelt ostjate
vastu ja kohustustelt tarnijate ees (juhul kui tulemuseks on
netokahjum, kajastatakse see kirjel “Muud ärikulud”) 
</t>
        </r>
      </text>
    </comment>
    <comment ref="A16" authorId="0" shapeId="0" xr:uid="{00000000-0006-0000-0300-000003000000}">
      <text>
        <r>
          <rPr>
            <sz val="9"/>
            <color indexed="81"/>
            <rFont val="Tahoma"/>
            <family val="2"/>
          </rPr>
          <t>Otseselt põhitegevuse (näit. tootmis- või müügitegevuse) eesmärgil ostetud kaupade, toorme, materjalide ja teenuste kulu</t>
        </r>
      </text>
    </comment>
    <comment ref="A54" authorId="0" shapeId="0" xr:uid="{00000000-0006-0000-0300-000004000000}">
      <text>
        <r>
          <rPr>
            <sz val="9"/>
            <color indexed="81"/>
            <rFont val="Tahoma"/>
            <family val="2"/>
          </rPr>
          <t>Ebaregulaarselt äritegevuse käigus tekkivad kulud, sh kahjum
materiaalsete ja immateriaalsete põhivarade ning
kinnisvarainvesteeringute müügist; kahjum
kinnisvarainvesteeringute väärtuse muutusest; trahvid ja
viivised; netokahjum valuutakursimuutustest nõuetelt ostjate
vastu ja kohustustelt tarnijate ees (juhul kui tulemuseks on
netokasum, kajastatakse see kirjel “Muud äritulud”)</t>
        </r>
      </text>
    </comment>
    <comment ref="A62" authorId="0" shapeId="0" xr:uid="{00000000-0006-0000-0300-000005000000}">
      <text>
        <r>
          <rPr>
            <sz val="9"/>
            <color indexed="81"/>
            <rFont val="Tahoma"/>
            <family val="2"/>
          </rPr>
          <t xml:space="preserve">Kasum (kahjum) finantseerimis- ja investeerimistegevusega
seotud välisvaluutas fikseeritud nõuete ja kohustiste (näit.
antud ja saadud laenud) valuutakursside muutustest,
intressitulud ja muud finantstulud ja –kulud, mis ei ole seotud
tütar- ja sidusettevõtjatega ning muude
finantsinvesteeringutega
</t>
        </r>
      </text>
    </comment>
    <comment ref="A63" authorId="0" shapeId="0" xr:uid="{00000000-0006-0000-0300-000006000000}">
      <text>
        <r>
          <rPr>
            <sz val="9"/>
            <color indexed="81"/>
            <rFont val="Tahoma"/>
            <family val="2"/>
          </rPr>
          <t xml:space="preserve">Dividendide tulumaksu kulu (kajastatakse dividendide
väljakuulutamise hetkel) ning välismaal asuvatest
tütarettevõtjatest tulenev tasumisele kuuluva tulumaksu kulu
või tulu ja edasilükkunud tulumaksu kulu või tulu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Marje Leppik</author>
  </authors>
  <commentList>
    <comment ref="A7" authorId="0" shapeId="0" xr:uid="{00000000-0006-0000-0400-000001000000}">
      <text>
        <r>
          <rPr>
            <sz val="9"/>
            <color indexed="81"/>
            <rFont val="Tahoma"/>
            <family val="2"/>
          </rPr>
          <t xml:space="preserve">Finantsvarad, mida tõenäoliselt
realiseeritakse lähema 12 kuu
jooksul: kauplemiseesmärgil
hoitavad ja muud lühiajalised
investeeringud väärtpaberitesse
(aktsiad, võlakirjad, obligatsioonid,
fondiosakud jne) </t>
        </r>
      </text>
    </comment>
    <comment ref="A23" authorId="0" shapeId="0" xr:uid="{00000000-0006-0000-0400-000002000000}">
      <text>
        <r>
          <rPr>
            <sz val="9"/>
            <color indexed="81"/>
            <rFont val="Tahoma"/>
            <family val="2"/>
          </rPr>
          <t>Tütarettevõtete aktsiad või osad
(seda alamkirjet kasutatakse ainult
konsolideerimata aruannetes),
sidusettevõtete aktsiad või osad</t>
        </r>
      </text>
    </comment>
    <comment ref="A24" authorId="0" shapeId="0" xr:uid="{00000000-0006-0000-0400-000003000000}">
      <text>
        <r>
          <rPr>
            <sz val="9"/>
            <color indexed="81"/>
            <rFont val="Tahoma"/>
            <family val="2"/>
          </rPr>
          <t xml:space="preserve">Finantsvarad, mida tõenäoliselt ei
realiseerita lähema 12 kuu jooksul:
muud aktsiad ja väärtpaberid
(aktsiad, võlakirjad, obligatsioonid,
fondi osakud jne), mida tõenäoliselt
ei müüda lähema 12 kuu jooksul
ning kindla lunastustähtajaga
väärtpaberid, mille lunastustähtaeg
on hiljem kui 12 kuud pärast
aruandekuupäeva </t>
        </r>
      </text>
    </comment>
    <comment ref="A25" authorId="0" shapeId="0" xr:uid="{00000000-0006-0000-0400-000004000000}">
      <text>
        <r>
          <rPr>
            <sz val="9"/>
            <color indexed="81"/>
            <rFont val="Tahoma"/>
            <family val="2"/>
          </rPr>
          <t>Pikaajalised laenu- ja muud nõuded,
edasilükkunud tulumaks</t>
        </r>
      </text>
    </comment>
    <comment ref="A54" authorId="0" shapeId="0" xr:uid="{00000000-0006-0000-0400-000005000000}">
      <text>
        <r>
          <rPr>
            <sz val="9"/>
            <color indexed="81"/>
            <rFont val="Tahoma"/>
            <family val="2"/>
          </rPr>
          <t xml:space="preserve">Saadud sihtfinantseerimine, mis
ei vasta veel tuluna kajastamise
kriteeriumitele ja mille
tingimuste täitmist on eeldada
12 kuu jooksul 
</t>
        </r>
      </text>
    </comment>
    <comment ref="A58" authorId="0" shapeId="0" xr:uid="{00000000-0006-0000-0400-000006000000}">
      <text>
        <r>
          <rPr>
            <sz val="9"/>
            <color indexed="81"/>
            <rFont val="Tahoma"/>
            <family val="2"/>
          </rPr>
          <t xml:space="preserve">Saadud sihtfinantseerimine, mis
ei vasta veel tuluna kajastamise
kriteeriumitele ja mille
tingimuste täitmist on eeldada
hiljem kui 12 kuu jooksul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tc={00D90021-00F8-4A5C-A396-00A800A500D7}</author>
    <author>Marje Leppik</author>
  </authors>
  <commentList>
    <comment ref="A13" authorId="0" shapeId="0" xr:uid="{00000000-0006-0000-0600-000001000000}">
      <text>
        <r>
          <rPr>
            <sz val="10"/>
            <color theme="1"/>
            <rFont val="Arial"/>
            <family val="2"/>
          </rPr>
          <t xml:space="preserve">(tööjõukulud+põhivara kulum+ärikasum)/töötajate arv
</t>
        </r>
      </text>
    </comment>
    <comment ref="A16" authorId="1" shapeId="0" xr:uid="{00000000-0006-0000-0600-000002000000}">
      <text>
        <r>
          <rPr>
            <sz val="9"/>
            <color indexed="81"/>
            <rFont val="Tahoma"/>
            <family val="2"/>
          </rPr>
          <t xml:space="preserve">(Puhaskasum/müügi netokäive)*100
roheline- suurem kui 5%,kollane-0-5%, punane siis kui miinuses, 
Valik: 5,0 või üle, siis roheline, muidu punane.
</t>
        </r>
      </text>
    </comment>
    <comment ref="A17" authorId="1" shapeId="0" xr:uid="{00000000-0006-0000-0600-000003000000}">
      <text>
        <r>
          <rPr>
            <sz val="9"/>
            <color indexed="81"/>
            <rFont val="Tahoma"/>
            <family val="2"/>
          </rPr>
          <t xml:space="preserve">Kohustused kokku/Varad kokku (koguvara)
roheline- ei ole suurm kui 0,7, muidu punane, sama mis siiani
</t>
        </r>
      </text>
    </comment>
    <comment ref="A18" authorId="1" shapeId="0" xr:uid="{00000000-0006-0000-0600-000004000000}">
      <text>
        <r>
          <rPr>
            <b/>
            <sz val="9"/>
            <color indexed="81"/>
            <rFont val="Tahoma"/>
            <family val="2"/>
          </rPr>
          <t>Marje Leppik:</t>
        </r>
        <r>
          <rPr>
            <sz val="9"/>
            <color indexed="81"/>
            <rFont val="Tahoma"/>
            <family val="2"/>
          </rPr>
          <t xml:space="preserve">
(Käibevara-varud-ettemaksed)/lühiajalised kohustused</t>
        </r>
      </text>
    </comment>
    <comment ref="A19" authorId="1" shapeId="0" xr:uid="{00000000-0006-0000-0600-000005000000}">
      <text>
        <r>
          <rPr>
            <sz val="9"/>
            <color indexed="81"/>
            <rFont val="Tahoma"/>
            <family val="2"/>
          </rPr>
          <t>Käibevara/lühiajalised kohustused
suurem kui 1,2, siis roheline, muidu punane</t>
        </r>
      </text>
    </comment>
    <comment ref="A20" authorId="1" shapeId="0" xr:uid="{00000000-0006-0000-0600-000006000000}">
      <text>
        <r>
          <rPr>
            <sz val="9"/>
            <color indexed="81"/>
            <rFont val="Tahoma"/>
            <family val="2"/>
          </rPr>
          <t xml:space="preserve">Raha/lühiajalised kohustused
roheline 0,6 või rohkem, muidu punane
</t>
        </r>
      </text>
    </comment>
    <comment ref="A21" authorId="1" shapeId="0" xr:uid="{00000000-0006-0000-0600-000007000000}">
      <text>
        <r>
          <rPr>
            <b/>
            <sz val="9"/>
            <color indexed="81"/>
            <rFont val="Tahoma"/>
            <family val="2"/>
          </rPr>
          <t>Marje Leppik:</t>
        </r>
        <r>
          <rPr>
            <sz val="9"/>
            <color indexed="81"/>
            <rFont val="Tahoma"/>
            <family val="2"/>
          </rPr>
          <t xml:space="preserve">
T = 2,440×X1+0,348×X2+0,306×X3
X1 – koguvara puhasrentaablus (puhaskasum / koguvara), 
X2 – koguvara tulusiduvus (müügitulu / koguvara), 
X3 – lühivõlgade üldine kattekordaja (käibevara / lühiajalised kohustised)
</t>
        </r>
      </text>
    </comment>
    <comment ref="A22" authorId="1" shapeId="0" xr:uid="{00000000-0006-0000-0600-000008000000}">
      <text>
        <r>
          <rPr>
            <sz val="9"/>
            <color indexed="81"/>
            <rFont val="Tahoma"/>
            <family val="2"/>
          </rPr>
          <t>3,3*(ärikasum/koguvara) + (müügitulu/koguvara) + 0,6*(omakapital/kohustuses kokku) + 1,4*(jaotamata kasum/koguvara)+1,2*(puhas käibekapital/koguvara)
3,3*(ärikasum/koguvara) + (müügitulu/koguvara) + 0,6*(omakapital/kohustuses kokku) + 0,6*(jaotamata kasum/koguvara)+1,4*(puhas käibekapital/koguvara) + 1,2
Suurem kui 2,7, siis roheline, muidu punane</t>
        </r>
      </text>
    </comment>
    <comment ref="A23" authorId="1" shapeId="0" xr:uid="{00000000-0006-0000-0600-000009000000}">
      <text>
        <r>
          <rPr>
            <b/>
            <sz val="9"/>
            <color indexed="81"/>
            <rFont val="Tahoma"/>
            <family val="2"/>
          </rPr>
          <t>Marje Leppik:</t>
        </r>
        <r>
          <rPr>
            <sz val="9"/>
            <color indexed="81"/>
            <rFont val="Tahoma"/>
            <family val="2"/>
          </rPr>
          <t xml:space="preserve">
(puhaskasum / koguvara)
</t>
        </r>
      </text>
    </comment>
    <comment ref="A24" authorId="1" shapeId="0" xr:uid="{00000000-0006-0000-0600-00000A000000}">
      <text>
        <r>
          <rPr>
            <b/>
            <sz val="9"/>
            <color indexed="81"/>
            <rFont val="Tahoma"/>
            <family val="2"/>
          </rPr>
          <t>Marje Leppik:</t>
        </r>
        <r>
          <rPr>
            <sz val="9"/>
            <color indexed="81"/>
            <rFont val="Tahoma"/>
            <family val="2"/>
          </rPr>
          <t xml:space="preserve">
(müügitulu / koguvara)
</t>
        </r>
      </text>
    </comment>
    <comment ref="A25" authorId="1" shapeId="0" xr:uid="{00000000-0006-0000-0600-00000B000000}">
      <text>
        <r>
          <rPr>
            <b/>
            <sz val="9"/>
            <color indexed="81"/>
            <rFont val="Tahoma"/>
            <family val="2"/>
          </rPr>
          <t>Marje Leppik:</t>
        </r>
        <r>
          <rPr>
            <sz val="9"/>
            <color indexed="81"/>
            <rFont val="Tahoma"/>
            <family val="2"/>
          </rPr>
          <t xml:space="preserve">
ärikasum/koguvara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Allar Korjas</author>
    <author>Marje Leppik</author>
    <author>Janek Maasik</author>
  </authors>
  <commentList>
    <comment ref="P4" authorId="0" shapeId="0" xr:uid="{22FC6C3C-C867-4692-BCFF-6A5ACC751734}">
      <text>
        <r>
          <rPr>
            <sz val="9"/>
            <color indexed="81"/>
            <rFont val="Tahoma"/>
            <family val="2"/>
          </rPr>
          <t>Väärtus skaalal 0…4 on seda suurem, mida rohkemad aastad tulevikus on näitaja "rohelises", kuid saab olema vähendatud ühe ühiku võrra, kui mõni aasta minevikus on olnud "punases"</t>
        </r>
      </text>
    </comment>
    <comment ref="B5" authorId="1" shapeId="0" xr:uid="{5DAA2C4B-26C9-4533-8474-88B5FF581AAD}">
      <text>
        <r>
          <rPr>
            <sz val="9"/>
            <color indexed="81"/>
            <rFont val="Tahoma"/>
            <family val="2"/>
          </rPr>
          <t xml:space="preserve">(Puhaskasum/müügi netokäive)*100
roheline- suurem kui 5%,kollane-0-5%, punane siis kui miinuses, 
Valik: 5,0 või üle, siis roheline, muidu punane.
</t>
        </r>
      </text>
    </comment>
    <comment ref="E5" authorId="0" shapeId="0" xr:uid="{1615F541-0B85-46D1-BB08-5D2E6468BA0F}">
      <text>
        <r>
          <rPr>
            <sz val="9"/>
            <color indexed="81"/>
            <rFont val="Tahoma"/>
            <family val="2"/>
          </rPr>
          <t>Puhaskasum on kasum, mis jääb järgi peale kõigi perioodi kulude, sh dividendide tulumaksu, maha arvamist müügitulust. Puhaskasumit ei tohi segi ajada netorahavooga – puhaskasum ei sisalda laenude tagasimakseid ja investeeringuid.
Üldiselt loetakse heaks tasemeks 15%-list marginaali. 90%-l ettevõtetest on samas see näitaja alla 10%. Euroopa keskmine netokasum tegevusalade lõikes (v.a finantssektor) on 6,5%. Teenusettevõtete keskmine on 5%.
Eesti keskmine netokasumi marginaal Statistikaameti põhjal on 9%.</t>
        </r>
      </text>
    </comment>
    <comment ref="B6" authorId="1" shapeId="0" xr:uid="{C89F6679-DBE8-45A8-9115-54B5040162B0}">
      <text>
        <r>
          <rPr>
            <sz val="9"/>
            <color indexed="81"/>
            <rFont val="Tahoma"/>
            <family val="2"/>
          </rPr>
          <t>Käibevara/lühiajalised kohustused
suurem kui 1,00, siis roheline, muidu punane, sama mis praegu</t>
        </r>
      </text>
    </comment>
    <comment ref="E6" authorId="0" shapeId="0" xr:uid="{E8459A01-9F06-49D9-8367-F3AAA0F32FB1}">
      <text>
        <r>
          <rPr>
            <b/>
            <sz val="9"/>
            <color indexed="81"/>
            <rFont val="Tahoma"/>
            <family val="2"/>
          </rPr>
          <t>Allar Korjas:</t>
        </r>
        <r>
          <rPr>
            <sz val="9"/>
            <color indexed="81"/>
            <rFont val="Tahoma"/>
            <family val="2"/>
          </rPr>
          <t xml:space="preserve">
Tõstame lävendi  tasemele 1.2
Seni meetmes 6.4 oli kasutusel tase 1.0</t>
        </r>
      </text>
    </comment>
    <comment ref="B7" authorId="1" shapeId="0" xr:uid="{76829C61-5800-4FA9-8304-82B05DDCA75C}">
      <text>
        <r>
          <rPr>
            <sz val="9"/>
            <color indexed="81"/>
            <rFont val="Tahoma"/>
            <family val="2"/>
          </rPr>
          <t xml:space="preserve">Kohustused kokku/Varad kokku (koguvara)
roheline- ei ole suurm kui 0,7, muidu punane, sama mis siiani
</t>
        </r>
      </text>
    </comment>
    <comment ref="E7" authorId="0" shapeId="0" xr:uid="{3C34278F-6144-45A8-AB89-80DFA06EF56B}">
      <text>
        <r>
          <rPr>
            <b/>
            <sz val="9"/>
            <color indexed="81"/>
            <rFont val="Tahoma"/>
            <family val="2"/>
          </rPr>
          <t>Allar Korjas:</t>
        </r>
        <r>
          <rPr>
            <sz val="9"/>
            <color indexed="81"/>
            <rFont val="Tahoma"/>
            <family val="2"/>
          </rPr>
          <t xml:space="preserve">
Sama mis seni kasutusel</t>
        </r>
      </text>
    </comment>
    <comment ref="B8" authorId="1" shapeId="0" xr:uid="{B4E0537F-D996-4190-8816-F4199E841DE9}">
      <text>
        <r>
          <rPr>
            <b/>
            <sz val="9"/>
            <color indexed="81"/>
            <rFont val="Tahoma"/>
            <family val="2"/>
          </rPr>
          <t>Marje Leppik:</t>
        </r>
        <r>
          <rPr>
            <sz val="9"/>
            <color indexed="81"/>
            <rFont val="Tahoma"/>
            <family val="2"/>
          </rPr>
          <t xml:space="preserve">
Raha/lühiajalised kohustused
roheline 0,6 või rohkem, muidu punane
</t>
        </r>
      </text>
    </comment>
    <comment ref="B9" authorId="1" shapeId="0" xr:uid="{CFFE969E-0028-4A4D-820C-69A11E7C72A9}">
      <text>
        <r>
          <rPr>
            <sz val="9"/>
            <color indexed="81"/>
            <rFont val="Tahoma"/>
            <family val="2"/>
          </rPr>
          <t>3,3*(ärikasum/koguvara) + (müügitulu/koguvara) + 0,6*(omakapital/kohustuses kokku) + 1,4*(jaotamata kasum/koguvara)+1,2*(puhas käibekapital/koguvara)
3,3*(ärikasum/koguvara) + (müügitulu/koguvara) + 0,6*(omakapital/kohustuses kokku) + 0,6*(jaotamata kasum/koguvara)+1,4*(puhas käibekapital/koguvara) + 1,2
Suurem kui 2,7, siis roheline, muidu punane
Allar, testimise järeldused:
Krediidihinde tulemus sõltub väga palju varade suurusest. Väheste varade korral on hinne alati hea.</t>
        </r>
      </text>
    </comment>
    <comment ref="P10" authorId="2" shapeId="0" xr:uid="{99CADAF3-CB7E-46D6-BCE7-B01D311FD904}">
      <text>
        <r>
          <rPr>
            <sz val="9"/>
            <color indexed="81"/>
            <rFont val="Tahoma"/>
            <family val="2"/>
          </rPr>
          <t xml:space="preserve">Kui kahel taotlemiseelsel aastal on EBITDA rohkem kui 7 korda väiksem omafinantseeringu summast, siis on see ohumärk, kuna omafinantseeringu eest tasumise võimekuse osas puudub kindlus.
</t>
        </r>
      </text>
    </comment>
    <comment ref="P14" authorId="2" shapeId="0" xr:uid="{4DDD6BBD-41AF-43AF-875A-C05752F15F95}">
      <text>
        <r>
          <rPr>
            <sz val="9"/>
            <color indexed="81"/>
            <rFont val="Tahoma"/>
            <family val="2"/>
          </rPr>
          <t xml:space="preserve">Kirjuta siia number, mille võrra pead vajalikuks finantsvõimekuse alamkriteeriumi hinnet suuredada või vähendada võrreldes algoritmipõhise esialgse väärtusega. 
(miinus märgiga number vähendab hinnet)
</t>
        </r>
      </text>
    </comment>
  </commentList>
</comments>
</file>

<file path=xl/sharedStrings.xml><?xml version="1.0" encoding="utf-8"?>
<sst xmlns="http://schemas.openxmlformats.org/spreadsheetml/2006/main" count="488" uniqueCount="373">
  <si>
    <t>Hoonete amortisatsiooninorm %</t>
  </si>
  <si>
    <t>Immateriaalse põhivara amortisatsiooninorm %</t>
  </si>
  <si>
    <r>
      <t>6. "</t>
    </r>
    <r>
      <rPr>
        <b/>
        <i/>
        <sz val="10"/>
        <color indexed="4"/>
        <rFont val="Arial"/>
        <family val="2"/>
      </rPr>
      <t>Kasumiaruanne</t>
    </r>
    <r>
      <rPr>
        <sz val="10"/>
        <rFont val="Arial"/>
        <family val="2"/>
      </rPr>
      <t>" ja "</t>
    </r>
    <r>
      <rPr>
        <b/>
        <i/>
        <sz val="10"/>
        <color indexed="4"/>
        <rFont val="Arial"/>
        <family val="2"/>
      </rPr>
      <t>Bilanss</t>
    </r>
    <r>
      <rPr>
        <sz val="10"/>
        <rFont val="Arial"/>
        <family val="2"/>
      </rPr>
      <t>" genereeruvad "</t>
    </r>
    <r>
      <rPr>
        <b/>
        <i/>
        <sz val="10"/>
        <color indexed="4"/>
        <rFont val="Arial"/>
        <family val="2"/>
      </rPr>
      <t>Algandmete</t>
    </r>
    <r>
      <rPr>
        <sz val="10"/>
        <rFont val="Arial"/>
        <family val="2"/>
      </rPr>
      <t>" ja "</t>
    </r>
    <r>
      <rPr>
        <b/>
        <i/>
        <sz val="10"/>
        <color indexed="4"/>
        <rFont val="Arial"/>
        <family val="2"/>
      </rPr>
      <t>Kassavood"</t>
    </r>
    <r>
      <rPr>
        <sz val="10"/>
        <rFont val="Arial"/>
        <family val="2"/>
      </rPr>
      <t xml:space="preserve"> andmete alusel.</t>
    </r>
  </si>
  <si>
    <t>9% KM määraga maksustatav käive</t>
  </si>
  <si>
    <t>keskm.ühiku müügihind KM-ta</t>
  </si>
  <si>
    <t>Siseriikliku käibe puhul rakenduv KM määr</t>
  </si>
  <si>
    <t>materjali/kauba keskmine laovaru vajadus %</t>
  </si>
  <si>
    <t>materjali/kauba kulu ühikule</t>
  </si>
  <si>
    <t>Kokku toote nr. 1 käive</t>
  </si>
  <si>
    <t xml:space="preserve">materjali/kauba kulu ühikule </t>
  </si>
  <si>
    <t>Kokku toote nr. 2 käive</t>
  </si>
  <si>
    <t>Kokku toote nr. 3 käive</t>
  </si>
  <si>
    <t>materjali/kauba kulu ühikule kr</t>
  </si>
  <si>
    <t>Kokku toote nr. 4 käive</t>
  </si>
  <si>
    <t>Kokku toote nr. 5 käive</t>
  </si>
  <si>
    <t>Kokku toote nr. 6 käive</t>
  </si>
  <si>
    <t>Kokku toote nr. 7 käive</t>
  </si>
  <si>
    <t>Kokku toote nr. 8 käive</t>
  </si>
  <si>
    <t>Kokku toote nr. 9 käive</t>
  </si>
  <si>
    <t>Kokku toote nr. 10 käive</t>
  </si>
  <si>
    <t>KASSAVOOGUDE PROGNOOS</t>
  </si>
  <si>
    <t>2.aasta</t>
  </si>
  <si>
    <t>3.aasta</t>
  </si>
  <si>
    <t>4. aasta</t>
  </si>
  <si>
    <t>Raha jääk perioodi algul</t>
  </si>
  <si>
    <t>sellest 0% määraga maksustatavat müügitulu</t>
  </si>
  <si>
    <t>sellest 9% määraga maksustatavat müügitulu</t>
  </si>
  <si>
    <t>Käibemaks</t>
  </si>
  <si>
    <t>Majandustegevuse käigus tekkivad kulud</t>
  </si>
  <si>
    <t>Reklaamikulud</t>
  </si>
  <si>
    <t>Ruumide majandamiskulud</t>
  </si>
  <si>
    <t>Küte</t>
  </si>
  <si>
    <t>Elekter</t>
  </si>
  <si>
    <t>Rent</t>
  </si>
  <si>
    <t>Valveteenused</t>
  </si>
  <si>
    <t>Transpordikulud</t>
  </si>
  <si>
    <t>Ostetud transporditeenused</t>
  </si>
  <si>
    <t>IT ja sidekulud</t>
  </si>
  <si>
    <t>Kantseleitarbed</t>
  </si>
  <si>
    <t>Seadmete hooldus ja remont</t>
  </si>
  <si>
    <t>Sotsiaalmaks (tasutakse järgmisel kuul)</t>
  </si>
  <si>
    <t>Koolituskulud</t>
  </si>
  <si>
    <t>Lühiajalise laenu tagasimaksed</t>
  </si>
  <si>
    <t>Käibemaksu korrigeerimised</t>
  </si>
  <si>
    <t>Dividendide väljamaks (brutoumma)</t>
  </si>
  <si>
    <t>Raha jääk perioodi lõpus</t>
  </si>
  <si>
    <t>käibemaksu arvestus</t>
  </si>
  <si>
    <t>immateriaalse põhivara amort</t>
  </si>
  <si>
    <t>KASUMIARUANDE PROGNOOS</t>
  </si>
  <si>
    <t>1. aasta</t>
  </si>
  <si>
    <t>Tulud majandustegevusest</t>
  </si>
  <si>
    <t>Müügitulu</t>
  </si>
  <si>
    <t>Tulud kokku</t>
  </si>
  <si>
    <t xml:space="preserve">Müügitulu kasv võrreldes eelmise aastaga </t>
  </si>
  <si>
    <t>Kulud kokku</t>
  </si>
  <si>
    <t>keskmine töötajate arv</t>
  </si>
  <si>
    <t>Töötajate arv</t>
  </si>
  <si>
    <t>BILANSI PROGNOOS</t>
  </si>
  <si>
    <t>2. aasta</t>
  </si>
  <si>
    <t>3. aasta</t>
  </si>
  <si>
    <t>AKTIVA</t>
  </si>
  <si>
    <t>Käibevara kokku</t>
  </si>
  <si>
    <t>Akumuleeritud kulum (miinusmärgiga)</t>
  </si>
  <si>
    <t>Immateriaalne põhivara</t>
  </si>
  <si>
    <t>Põhivara kokku</t>
  </si>
  <si>
    <t>AKTIVA KOKKU</t>
  </si>
  <si>
    <t>Eelmiste perioodide jaotamata kasum</t>
  </si>
  <si>
    <t>Aruandeaasta kasum</t>
  </si>
  <si>
    <t>Omakapital kokku</t>
  </si>
  <si>
    <t>PASSIVA KOKKU</t>
  </si>
  <si>
    <r>
      <t xml:space="preserve">Taotleja tähtsamad majandusnäitajad (täitub automaatselt, kui ülejäänud lehed on täidetud)
</t>
    </r>
    <r>
      <rPr>
        <sz val="10"/>
        <rFont val="Arial"/>
        <family val="2"/>
      </rPr>
      <t>Selle tabeli abil saab kontrollida taotlusvormi samanimelisse tabelisse sisestatud andmete õigsust.</t>
    </r>
  </si>
  <si>
    <t xml:space="preserve">Näitaja </t>
  </si>
  <si>
    <t>2024. a prognoos</t>
  </si>
  <si>
    <t>2025. a prognoos</t>
  </si>
  <si>
    <t>Kaubad, toore, materjal, teenused</t>
  </si>
  <si>
    <t>Põhivara kulum</t>
  </si>
  <si>
    <t>Ärikasum/-kahjum (EBIT)</t>
  </si>
  <si>
    <t>Puhaskasum/-kahjum</t>
  </si>
  <si>
    <t>Bilansimaht</t>
  </si>
  <si>
    <t>Investeeringud tootearendusse</t>
  </si>
  <si>
    <t>lisa ise</t>
  </si>
  <si>
    <t>Tööjõukulud</t>
  </si>
  <si>
    <t>Keskmine töötajate arv</t>
  </si>
  <si>
    <t>Tööjõukulu töötaja kohta</t>
  </si>
  <si>
    <t>Lisandväärtus töötaja kohta</t>
  </si>
  <si>
    <t>Võlakordaja</t>
  </si>
  <si>
    <t>Finantsinvesteeringud</t>
  </si>
  <si>
    <t>PÕHIVARA</t>
  </si>
  <si>
    <t>Investeeringud tütar- ja sidusettevõtetesse</t>
  </si>
  <si>
    <t>Kinnisvarainvesteeringud</t>
  </si>
  <si>
    <t>Muud finantskulud</t>
  </si>
  <si>
    <t>KÄIBEVARA</t>
  </si>
  <si>
    <t>Varud</t>
  </si>
  <si>
    <t>Bioloogilised varad</t>
  </si>
  <si>
    <t>Raha sissetulek kokku</t>
  </si>
  <si>
    <t>Muud tegevuskulud</t>
  </si>
  <si>
    <t>Mitmesugused tegevuskulud</t>
  </si>
  <si>
    <t>Telefonikulu</t>
  </si>
  <si>
    <t>Autohooldus ja remondikulud, kütuse kulu</t>
  </si>
  <si>
    <t>Turustamisega seotud kulud</t>
  </si>
  <si>
    <t>Muud ärikulud</t>
  </si>
  <si>
    <t>Arvutustehnika ja tarkavaraga seotud kulud</t>
  </si>
  <si>
    <t xml:space="preserve">Põhivarade kulum </t>
  </si>
  <si>
    <t>Hooned, rajatised</t>
  </si>
  <si>
    <t>Masinad ja seadmed</t>
  </si>
  <si>
    <t>Muu põhivara</t>
  </si>
  <si>
    <t>Põllumajanduliku toodangu varude jääkide muutus</t>
  </si>
  <si>
    <t>Kasum (kahjum) bioloogilistelt varadelt</t>
  </si>
  <si>
    <t>Valmis- ja lõpetamata toodangu varude jääkide muutus</t>
  </si>
  <si>
    <t>Masinate ja seadmete amortisatsiooninorm %</t>
  </si>
  <si>
    <t>Muu materiaalse põhivara amortisatsiooninorm %</t>
  </si>
  <si>
    <t>hoonete ja rajatiste amordi arvestus (aasta)</t>
  </si>
  <si>
    <t>masinate ja seadmete amordi arvestus (aasta)</t>
  </si>
  <si>
    <t>muu materiaalse põhivara amordi arvutus (aasta)</t>
  </si>
  <si>
    <t>hoonete ja rajatiste ehitamine (akumuleeruv)</t>
  </si>
  <si>
    <t>masinate ja seadmete soetamine (akumuleeruv)</t>
  </si>
  <si>
    <t>muu materiaalse põhivara soetamine (akumuleeruv)</t>
  </si>
  <si>
    <t>Kohustuslik reservkapital</t>
  </si>
  <si>
    <t>Raha</t>
  </si>
  <si>
    <t>Nõuded ja tehtud ettemaksed</t>
  </si>
  <si>
    <t xml:space="preserve">Käive kokku </t>
  </si>
  <si>
    <t>Korrashoiu- ja remondikulud</t>
  </si>
  <si>
    <t>Hoonete, rajatiste  majandamiskulud</t>
  </si>
  <si>
    <t>Finantsinvesteeringud (aktsiad, võlakirjad, obligatsioonid,
fondiosakud jne)</t>
  </si>
  <si>
    <t>Müüdud tooteid/teenuseid perioodil (eur), käibemaksuta summas</t>
  </si>
  <si>
    <t>Nõuded ostajate vastu, laekumine perioodi müügist, käibemaksuta summas</t>
  </si>
  <si>
    <t xml:space="preserve">Saadud pikajalised laenud kreeditoridelt </t>
  </si>
  <si>
    <t>Saadud lühiajalised laenud kreeditoridelt</t>
  </si>
  <si>
    <t>Happetest</t>
  </si>
  <si>
    <t>Maksevõime näitaja</t>
  </si>
  <si>
    <t>Taotlemisele eelnev teine majandusaasta</t>
  </si>
  <si>
    <t>Pankrotinäitaja</t>
  </si>
  <si>
    <t>Koguvara puhasrentaablus</t>
  </si>
  <si>
    <t>Koguvara tulusiduvus</t>
  </si>
  <si>
    <t>Maksevalmiduse kordaja</t>
  </si>
  <si>
    <t>Krediidihinne</t>
  </si>
  <si>
    <t>Koguvara rentaablus</t>
  </si>
  <si>
    <t>Omakapital/Kohustused</t>
  </si>
  <si>
    <t>Jaotamata kasum/Koguvara</t>
  </si>
  <si>
    <t>Puhas käibekapital/Koguvara</t>
  </si>
  <si>
    <t>Nõuded ostjate vastu</t>
  </si>
  <si>
    <t>Muud lühiajalised nõuded</t>
  </si>
  <si>
    <t>Tooraine ja materjal</t>
  </si>
  <si>
    <t>Lõpetamata toodang</t>
  </si>
  <si>
    <t>Valmistoodang</t>
  </si>
  <si>
    <t xml:space="preserve">   Müügiks ostetud kaubad</t>
  </si>
  <si>
    <t>Ettemaksed varude eest</t>
  </si>
  <si>
    <t>Finantsvõimekuse näitajad</t>
  </si>
  <si>
    <t>Ettemaksed teenuste eest</t>
  </si>
  <si>
    <t>Maksude ettemaksed ja tagasinõuded</t>
  </si>
  <si>
    <t>Lühiajalised laenud (kuni 12-kuulise tähtajaga)</t>
  </si>
  <si>
    <t>Materiaalsed põhivarad</t>
  </si>
  <si>
    <t>Immateriaalsed põhivarad</t>
  </si>
  <si>
    <t>Immateriaalsete põhivarade kulum</t>
  </si>
  <si>
    <t>PASSIVA (KOHUSTISED JA OMAKAPITAL)</t>
  </si>
  <si>
    <t>Lühiajalised kohustised</t>
  </si>
  <si>
    <t xml:space="preserve">   Laenukohustised</t>
  </si>
  <si>
    <r>
      <t xml:space="preserve">  </t>
    </r>
    <r>
      <rPr>
        <b/>
        <sz val="10"/>
        <rFont val="Arial"/>
        <family val="2"/>
      </rPr>
      <t xml:space="preserve"> Võlad ja saadud ettemaksed</t>
    </r>
  </si>
  <si>
    <t xml:space="preserve">         Võlad tarnijatele</t>
  </si>
  <si>
    <t xml:space="preserve">         Mitmesugused võlad (võlad töövõtjatele, muud võlad)</t>
  </si>
  <si>
    <t xml:space="preserve">         Maksuvõlad</t>
  </si>
  <si>
    <t xml:space="preserve">   Sihtfinantseerimine</t>
  </si>
  <si>
    <t>Pikaajalised kohustised</t>
  </si>
  <si>
    <t>Pikaajalised laenud, võlakirjad ja kapitalirendikohustised (tagasimakse hiljem kui 12 kuu pärast)</t>
  </si>
  <si>
    <t>Muud pikaajalised võlad ja saadud ettemaksed</t>
  </si>
  <si>
    <t xml:space="preserve">         Ettemaksed toodete ja kaupade eest</t>
  </si>
  <si>
    <t>Kohustised kokku</t>
  </si>
  <si>
    <t>Osakapital või aktsiakapital nimiväärtuses</t>
  </si>
  <si>
    <t>Registreerimata osakapital või aktsiakapital</t>
  </si>
  <si>
    <t>Ülekurss</t>
  </si>
  <si>
    <t>Oma osad või aktisad (miinus)</t>
  </si>
  <si>
    <t>KOHUSTISED</t>
  </si>
  <si>
    <t>OMAKAPITAL</t>
  </si>
  <si>
    <t>…</t>
  </si>
  <si>
    <t>Korrashoiu ja remondikulud</t>
  </si>
  <si>
    <t>Töötuskindlustusmaks (tasutakse järgmisel kuul)</t>
  </si>
  <si>
    <t>Muud äritulud</t>
  </si>
  <si>
    <t xml:space="preserve">      sh tulud sihtfinantseerimisest </t>
  </si>
  <si>
    <t>Muud äritulud (sh renditulu)</t>
  </si>
  <si>
    <t>Sihtfinantseerimine tulusse (arvutuslik)</t>
  </si>
  <si>
    <t>Kasum (kahjum-) sidusettevõtjatelt</t>
  </si>
  <si>
    <t>Kasum (kahjum-) finantsinvesteeringutelt</t>
  </si>
  <si>
    <r>
      <t>Intressikulud</t>
    </r>
    <r>
      <rPr>
        <vertAlign val="superscript"/>
        <sz val="10"/>
        <color theme="1"/>
        <rFont val="Arial"/>
        <family val="2"/>
      </rPr>
      <t>(-)</t>
    </r>
  </si>
  <si>
    <t>Kasum (kahjum-) tütarettevõtjatelt</t>
  </si>
  <si>
    <t>Arauandeaasta kasum (kahjum-)</t>
  </si>
  <si>
    <t xml:space="preserve">Tulumaks </t>
  </si>
  <si>
    <r>
      <t>Intressitulud</t>
    </r>
    <r>
      <rPr>
        <vertAlign val="superscript"/>
        <sz val="10"/>
        <color theme="1"/>
        <rFont val="Arial"/>
        <family val="2"/>
      </rPr>
      <t>(+)</t>
    </r>
  </si>
  <si>
    <t>hea</t>
  </si>
  <si>
    <t>0,6-0,89</t>
  </si>
  <si>
    <t>rahuldav</t>
  </si>
  <si>
    <t>0,3-0,59</t>
  </si>
  <si>
    <t>mitterahuldav</t>
  </si>
  <si>
    <t>&lt;0,3</t>
  </si>
  <si>
    <t>nõrk</t>
  </si>
  <si>
    <t>punane</t>
  </si>
  <si>
    <t>roosa</t>
  </si>
  <si>
    <t>roheline</t>
  </si>
  <si>
    <t>heleroheline</t>
  </si>
  <si>
    <t>&gt;=0,9</t>
  </si>
  <si>
    <t xml:space="preserve">Materjali/kauba keskmine laovaru vajadus </t>
  </si>
  <si>
    <t xml:space="preserve">Materjali/kauba varu laos perioodi lõpuks </t>
  </si>
  <si>
    <t xml:space="preserve">Kulutused materjalile/kaubale kokku </t>
  </si>
  <si>
    <t>1.aasta</t>
  </si>
  <si>
    <t>4.aasta</t>
  </si>
  <si>
    <t>5.aasta</t>
  </si>
  <si>
    <t>5. aasta</t>
  </si>
  <si>
    <t>Jooksev aasta</t>
  </si>
  <si>
    <t>2026. a prognoos</t>
  </si>
  <si>
    <t>2027. a prognoos</t>
  </si>
  <si>
    <t>2028. a prognoos</t>
  </si>
  <si>
    <r>
      <t>3. Täita ära "</t>
    </r>
    <r>
      <rPr>
        <b/>
        <i/>
        <sz val="10"/>
        <color indexed="4"/>
        <rFont val="Arial"/>
        <family val="2"/>
      </rPr>
      <t>Bilanss</t>
    </r>
    <r>
      <rPr>
        <sz val="10"/>
        <rFont val="Arial"/>
        <family val="2"/>
      </rPr>
      <t>" lehel eelmise kahe tegevusperioodi veerud B ja C.</t>
    </r>
  </si>
  <si>
    <r>
      <t xml:space="preserve">2. Täita ära </t>
    </r>
    <r>
      <rPr>
        <b/>
        <i/>
        <sz val="10"/>
        <color indexed="4"/>
        <rFont val="Arial"/>
        <family val="2"/>
      </rPr>
      <t>"Tooted"</t>
    </r>
    <r>
      <rPr>
        <sz val="10"/>
        <rFont val="Arial"/>
        <family val="2"/>
      </rPr>
      <t xml:space="preserve"> lehel kõik vajalikud andmed! NB! </t>
    </r>
    <r>
      <rPr>
        <b/>
        <i/>
        <sz val="10"/>
        <color indexed="4"/>
        <rFont val="Arial"/>
        <family val="2"/>
      </rPr>
      <t>Sinisega täidetud lahtrid on näitlikud ja neid saab muuta.</t>
    </r>
  </si>
  <si>
    <r>
      <t xml:space="preserve">5. </t>
    </r>
    <r>
      <rPr>
        <b/>
        <i/>
        <sz val="10"/>
        <color indexed="4"/>
        <rFont val="Arial"/>
        <family val="2"/>
      </rPr>
      <t>Sinisega</t>
    </r>
    <r>
      <rPr>
        <sz val="10"/>
        <rFont val="Arial"/>
        <family val="2"/>
      </rPr>
      <t xml:space="preserve"> märgitud lahtrid erinevates tabelites genereeruvad automaatselt ja palume neid mitte muuta</t>
    </r>
  </si>
  <si>
    <t>Varude ostmine</t>
  </si>
  <si>
    <t>Finantsinvesteeringud (lühiajalised)</t>
  </si>
  <si>
    <t>Finantsinvesteeringud (pikaajalised)</t>
  </si>
  <si>
    <t xml:space="preserve">Materjali/kauba/teenuse maksumus toodetele kokku </t>
  </si>
  <si>
    <t>Palk (makstakse välja samal kuul, sisaldab tulumaksu ja seda osa, mis peetakse palgast kinni töötukindlustus)</t>
  </si>
  <si>
    <r>
      <t>4. Täita ära "</t>
    </r>
    <r>
      <rPr>
        <b/>
        <i/>
        <sz val="10"/>
        <color indexed="4"/>
        <rFont val="Arial"/>
        <family val="2"/>
      </rPr>
      <t>Kassavood</t>
    </r>
    <r>
      <rPr>
        <sz val="10"/>
        <rFont val="Arial"/>
        <family val="2"/>
      </rPr>
      <t>" lehel tühjad asjakohased lahtrid. Sinisega märgitud lahtritesse genereeruvad väärtused automaatselt ja palume neid mitte muuta. Kulud kajastada ilma käibemaksuta summas.</t>
    </r>
  </si>
  <si>
    <t>Koondsumma</t>
  </si>
  <si>
    <t>Muud finantstulud ja –kulud</t>
  </si>
  <si>
    <t>Investeeringuobjekti nimetus</t>
  </si>
  <si>
    <t>Põhivara liik</t>
  </si>
  <si>
    <t>Maksumus käibemaksuta (eur)</t>
  </si>
  <si>
    <t>Käibemaks (eur)</t>
  </si>
  <si>
    <t>Maksumus kokku (eur)</t>
  </si>
  <si>
    <t>Laekunud müügitulu käibemaks</t>
  </si>
  <si>
    <t>Muu materiaalne põhivara</t>
  </si>
  <si>
    <t>Toetuse summa (eur)</t>
  </si>
  <si>
    <t>KOKKU</t>
  </si>
  <si>
    <r>
      <t xml:space="preserve">Kas ettevõte hakkab/on registreeritud käibemaksukohustuslaseks </t>
    </r>
    <r>
      <rPr>
        <sz val="10"/>
        <color theme="1"/>
        <rFont val="Arial"/>
        <family val="2"/>
      </rPr>
      <t>(jah/ei)</t>
    </r>
  </si>
  <si>
    <t>Liisingmaksed</t>
  </si>
  <si>
    <t>müüdud toote/teenuse kogus kokku</t>
  </si>
  <si>
    <t>Taotlemise aasta (jooksev aasta)</t>
  </si>
  <si>
    <t>siseriikliku käibe puhul rakenduv KM määr</t>
  </si>
  <si>
    <t>Toote/teenuse andmed - asendage sinise kirjaga lahtrid oma toodete/teenusete nimetustega ning õigete käibemaksumääradega.</t>
  </si>
  <si>
    <t>Jrk nr</t>
  </si>
  <si>
    <t>Toote/teenuse nimetus</t>
  </si>
  <si>
    <t>Andmed</t>
  </si>
  <si>
    <t>Kaubad, toore, materjal ja teenused</t>
  </si>
  <si>
    <t>jooksev (taotlemise) aasta</t>
  </si>
  <si>
    <t>0% KM määraga maksustatav käive</t>
  </si>
  <si>
    <t>Nõuded ostjate vastu- võlgnevuse laekumine</t>
  </si>
  <si>
    <t>Laekunud muud toetused</t>
  </si>
  <si>
    <t>Muu finantstulu</t>
  </si>
  <si>
    <t>Raha sissetulek</t>
  </si>
  <si>
    <t>Raha väljaminek (summad ilma käibemaksuta)</t>
  </si>
  <si>
    <t xml:space="preserve">Laekunud investeeringutoetused (PRIA) </t>
  </si>
  <si>
    <t>Lühiajaliste laenude andmine</t>
  </si>
  <si>
    <t>Pikaajaliste laenude andmine</t>
  </si>
  <si>
    <t>Muude lühiajaliste nõuete (va tarnijatele kauba ja teenuste eest) tasumine</t>
  </si>
  <si>
    <t>Bioloogiliste varade ostmine</t>
  </si>
  <si>
    <t xml:space="preserve">            sh toetusega soetatud</t>
  </si>
  <si>
    <t xml:space="preserve">            sh toetusega soetatud </t>
  </si>
  <si>
    <t xml:space="preserve">           sh toetusega soetatud </t>
  </si>
  <si>
    <t>KASUMIARUANNE</t>
  </si>
  <si>
    <t>Raha väljaminek kokku</t>
  </si>
  <si>
    <t>Ärikasum(-kahjum)</t>
  </si>
  <si>
    <t>Jaanuar</t>
  </si>
  <si>
    <t>Veebruar</t>
  </si>
  <si>
    <t>Märts</t>
  </si>
  <si>
    <t>Aprill</t>
  </si>
  <si>
    <t>Mai</t>
  </si>
  <si>
    <t>Juuni</t>
  </si>
  <si>
    <t>Juuli</t>
  </si>
  <si>
    <t>August</t>
  </si>
  <si>
    <t>September</t>
  </si>
  <si>
    <t>Oktoober</t>
  </si>
  <si>
    <t>November</t>
  </si>
  <si>
    <t>Detsember</t>
  </si>
  <si>
    <t>Töötajate keskmine arv</t>
  </si>
  <si>
    <t xml:space="preserve"> Immateriaalne põhivara (litsentsid, kaubamärgid, tarkvara jms) ostmine</t>
  </si>
  <si>
    <t>Maa</t>
  </si>
  <si>
    <t>Hooned, rajatised, teed (sh kapitaliseeritud kulud)</t>
  </si>
  <si>
    <t>Maksevõime kordaja</t>
  </si>
  <si>
    <t>Müügitulu puhasrentaablus</t>
  </si>
  <si>
    <t>Materiaalse põhivara ostmine</t>
  </si>
  <si>
    <t>Muud põhitegevusega seotud teenuste kulud</t>
  </si>
  <si>
    <t>Kaubad, toore, materjal</t>
  </si>
  <si>
    <t xml:space="preserve">   Maa (soetusmaksumuses)</t>
  </si>
  <si>
    <t>Hooned ja rajatised (soetusmaksumuses)</t>
  </si>
  <si>
    <t>Muu põhivara (soetusmaksumuses)</t>
  </si>
  <si>
    <t>Makstud intressid</t>
  </si>
  <si>
    <t>Laekunud intressid</t>
  </si>
  <si>
    <t>Masinad, seadmed (soetusmaksumuses)</t>
  </si>
  <si>
    <t>Arvutatud KM kokku</t>
  </si>
  <si>
    <t>2029. a prognoos</t>
  </si>
  <si>
    <t>Kaubad müügiks</t>
  </si>
  <si>
    <t>Kapitalirendi kohustus (arvestuslik)</t>
  </si>
  <si>
    <t>Andmed kapitalirendiga (sh toetusega) soetatavate investeeringuojektide kohta</t>
  </si>
  <si>
    <t>maa ostmine (akumuleeruv)</t>
  </si>
  <si>
    <t>immateriaalse põhivara soetamine (akmulureeuv)</t>
  </si>
  <si>
    <t>Laekunud lühiajaliste laenude tagasimaksed</t>
  </si>
  <si>
    <t>Laekunud pikajaliste laenude tagasimaksed</t>
  </si>
  <si>
    <t>KOKKU ilma KM-ta</t>
  </si>
  <si>
    <t>KOKKU KM-ga</t>
  </si>
  <si>
    <t>KM</t>
  </si>
  <si>
    <t>Taotlemisele eelnev majandusaasta</t>
  </si>
  <si>
    <t>Jooksev aasta (2024)</t>
  </si>
  <si>
    <r>
      <t>1. Täita ära "</t>
    </r>
    <r>
      <rPr>
        <b/>
        <i/>
        <sz val="10"/>
        <color indexed="4"/>
        <rFont val="Arial"/>
        <family val="2"/>
      </rPr>
      <t>Algandmed</t>
    </r>
    <r>
      <rPr>
        <sz val="10"/>
        <rFont val="Arial"/>
        <family val="2"/>
      </rPr>
      <t>" lehel kõik vajalikud lahtrid.</t>
    </r>
  </si>
  <si>
    <r>
      <t>4. Taita ära "</t>
    </r>
    <r>
      <rPr>
        <b/>
        <i/>
        <sz val="10"/>
        <color rgb="FF3333FF"/>
        <rFont val="Arial"/>
        <family val="2"/>
      </rPr>
      <t>Kasumiaruanne</t>
    </r>
    <r>
      <rPr>
        <sz val="10"/>
        <rFont val="Arial"/>
        <family val="2"/>
      </rPr>
      <t>" lehel eelmise kahe tegevusperioodi andmed veerus B ja C</t>
    </r>
  </si>
  <si>
    <t>14.12.2022 kokkusaamisel sõelale jäänud majandusnäitajad koos aktspteeritavate tasemetega</t>
  </si>
  <si>
    <t>Finantsvõimekuse  alamkriteeriumi  esialgse  hinde kujunemine finantssuhtarvude põhjal 
Lõpliku seisukoha  kujundab hindamiskomisjon arvestades erinevaid aspekte koosmõjus</t>
  </si>
  <si>
    <t>Näitaja</t>
  </si>
  <si>
    <t>Definitsioon</t>
  </si>
  <si>
    <t>Roheline tase</t>
  </si>
  <si>
    <t>Punane tase</t>
  </si>
  <si>
    <t>Eesti keskmine</t>
  </si>
  <si>
    <t>aasta T-2</t>
  </si>
  <si>
    <t>aasta T-1</t>
  </si>
  <si>
    <t>Varasemad aastad</t>
  </si>
  <si>
    <t>aasta T</t>
  </si>
  <si>
    <t>aasta T+1</t>
  </si>
  <si>
    <t>aasta T+2</t>
  </si>
  <si>
    <t>aasta T+3</t>
  </si>
  <si>
    <r>
      <t>"roheliste" aastate 
arv</t>
    </r>
    <r>
      <rPr>
        <sz val="9"/>
        <color theme="1"/>
        <rFont val="Calibri"/>
        <family val="2"/>
        <scheme val="minor"/>
      </rPr>
      <t xml:space="preserve"> (T…T+3)</t>
    </r>
  </si>
  <si>
    <t>väärtus skaalal 
0…4</t>
  </si>
  <si>
    <t>osakaal hindest</t>
  </si>
  <si>
    <t>Eeldefineeritud väljade list</t>
  </si>
  <si>
    <t>Puhaskasum/müügi netokäive</t>
  </si>
  <si>
    <t xml:space="preserve">   5% või suurem</t>
  </si>
  <si>
    <t>väiksem kui 5%</t>
  </si>
  <si>
    <t xml:space="preserve">näitaja väärtus = "roheliste" aastate arv"  -  "1" "punase" mineviku korral </t>
  </si>
  <si>
    <t>Maksevõimekordaja</t>
  </si>
  <si>
    <t>Käibevara/lühiajalised kohustused</t>
  </si>
  <si>
    <t>jah</t>
  </si>
  <si>
    <t>Kohustused kokku/varad kokku (koguvara)</t>
  </si>
  <si>
    <t>0,70 või väiksem</t>
  </si>
  <si>
    <t xml:space="preserve">suurem kui 0,70 </t>
  </si>
  <si>
    <t>ei</t>
  </si>
  <si>
    <t>Raha/lühiajalised kohustused</t>
  </si>
  <si>
    <t>0,60 või suurem</t>
  </si>
  <si>
    <t>väiksem kui 0,60</t>
  </si>
  <si>
    <t>?</t>
  </si>
  <si>
    <t>3,3*(ärikasum/koguvara) + 
1,0*(müügitulu/koguvara) + 0,6*(omakapital/kohustused kokku) + 0,6*(jaotamata kasum/koguvara) + 
1,4*(puhas käibekapital/koguvara) + 1,2</t>
  </si>
  <si>
    <t>2,70 või suurem</t>
  </si>
  <si>
    <t>väiksem kui 2,70</t>
  </si>
  <si>
    <t xml:space="preserve">  &lt;= tee oma valik</t>
  </si>
  <si>
    <t>Alamkriteeriumi hinne peab jääma vahemikku 0,00 … 4,00</t>
  </si>
  <si>
    <t>Alamkriteerimi kaal kriteeriumi hindes on 30%</t>
  </si>
  <si>
    <t xml:space="preserve"> </t>
  </si>
  <si>
    <t>Kriteeriumi hinde lävend on 2,00</t>
  </si>
  <si>
    <t>Krediidihinne (võetakse arvesse koosmõjus teiste näitajatega)</t>
  </si>
  <si>
    <t>Kas võtta arvesse täiendavat riski varasemate aastate valdavalt nõrkade finantssuhtarvude või tulevikuprognoosides sisalduvate riskide tõttu?</t>
  </si>
  <si>
    <t>väiksem kui 1,20</t>
  </si>
  <si>
    <t>1,20 või suurem</t>
  </si>
  <si>
    <t>Finantsvõimekuse algoritmipõhine kaalutud keskmine hinne skaalal 0…4</t>
  </si>
  <si>
    <t>Finantsvõimekuse hinne kõiki asjaolusid, sealhulgas riske koosmõjus arvestades</t>
  </si>
  <si>
    <t>Meeldetuletuseks:</t>
  </si>
  <si>
    <t>Koondhinde lävend on 2,50</t>
  </si>
  <si>
    <t>Taotlemise aasta
(jooksev)</t>
  </si>
  <si>
    <t>Muu kulu (täpsusta)</t>
  </si>
  <si>
    <t>7 või väiksem</t>
  </si>
  <si>
    <t>suurem kui 7</t>
  </si>
  <si>
    <t>Kogu investeeringu omaosalus/EBITDA</t>
  </si>
  <si>
    <t>22% KM määraga maksustatav käive</t>
  </si>
  <si>
    <t xml:space="preserve">Finantsprognooside täitmise juhend </t>
  </si>
  <si>
    <t>TÄPSUSTA</t>
  </si>
  <si>
    <t>sellest 22% määraga maksustavat müügitulu</t>
  </si>
  <si>
    <t>Väärtus</t>
  </si>
  <si>
    <t>Taotlemisele eelnenud teine majandusaasta (TÄIDA ISE)</t>
  </si>
  <si>
    <t>Taotlemisele eelnev majandusaasta (TÄIDA ISE)</t>
  </si>
  <si>
    <t>Algandmed seisuga (TÄIDA ISE)</t>
  </si>
  <si>
    <t>Kogu investeeringu omaosaluse ja EBITDA suhe</t>
  </si>
  <si>
    <t>Number, mille võrra suureneb või väheneb esialgne hinne eelnevate ja tulevaste aastate finantsnäitajatest tulenevat riski arvestades</t>
  </si>
  <si>
    <t>Kinnitatud Põllumajanduse Registrite</t>
  </si>
  <si>
    <t>ja Informatsiooni Ameti peadirektori</t>
  </si>
  <si>
    <t>05.09.2024 käskkirjaga nr 1-12/24/43</t>
  </si>
  <si>
    <t>Eelneva perioodi kohustused (võlad tarnijatele)</t>
  </si>
  <si>
    <t xml:space="preserve">         Lühiajalised laenud, võlakirjad</t>
  </si>
  <si>
    <t>Pikaajaliste laenude tagasimaksed</t>
  </si>
  <si>
    <t xml:space="preserve">         Pikaajaliste laenude ja kapitalirendi (liisingu) lühiajaline osa</t>
  </si>
  <si>
    <t>Krediiti müügi osakaal käibest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</si>
</sst>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r_-;\-* #,##0.00\ _k_r_-;_-* &quot;-&quot;??\ _k_r_-;_-@_-"/>
    <numFmt numFmtId="165" formatCode="&quot;Kokku &quot;\&amp;\A\2"/>
    <numFmt numFmtId="166" formatCode="mmmm"/>
    <numFmt numFmtId="167" formatCode="dd\.mm\.yy;@"/>
    <numFmt numFmtId="168" formatCode="0.0000"/>
    <numFmt numFmtId="169" formatCode="0.000"/>
  </numFmts>
  <fonts count="36" x14ac:knownFonts="1">
    <font>
      <sz val="10"/>
      <color theme="1"/>
      <name val="Arial"/>
    </font>
    <font>
      <sz val="10"/>
      <name val="Arial"/>
      <family val="2"/>
    </font>
    <font>
      <b/>
      <sz val="18"/>
      <color indexed="56"/>
      <name val="Cambria"/>
      <family val="1"/>
    </font>
    <font>
      <b/>
      <sz val="10"/>
      <name val="Arial"/>
      <family val="2"/>
    </font>
    <font>
      <b/>
      <sz val="10"/>
      <color indexed="4"/>
      <name val="Arial"/>
      <family val="2"/>
    </font>
    <font>
      <sz val="10"/>
      <color indexed="4"/>
      <name val="Arial"/>
      <family val="2"/>
    </font>
    <font>
      <u/>
      <sz val="10"/>
      <name val="Arial"/>
      <family val="2"/>
    </font>
    <font>
      <b/>
      <u/>
      <sz val="10"/>
      <name val="Arial"/>
      <family val="2"/>
    </font>
    <font>
      <b/>
      <i/>
      <sz val="10"/>
      <color indexed="4"/>
      <name val="Arial"/>
      <family val="2"/>
    </font>
    <font>
      <sz val="10"/>
      <color theme="1"/>
      <name val="Arial"/>
      <family val="2"/>
    </font>
    <font>
      <b/>
      <sz val="10"/>
      <name val="Arial"/>
      <family val="2"/>
    </font>
    <font>
      <sz val="10"/>
      <color rgb="FFFF0000"/>
      <name val="Arial"/>
      <family val="2"/>
    </font>
    <font>
      <b/>
      <sz val="10"/>
      <color theme="1"/>
      <name val="Arial"/>
      <family val="2"/>
    </font>
    <font>
      <sz val="10"/>
      <name val="Arial"/>
      <family val="2"/>
    </font>
    <font>
      <sz val="9"/>
      <color indexed="81"/>
      <name val="Tahoma"/>
      <family val="2"/>
    </font>
    <font>
      <b/>
      <sz val="9"/>
      <color indexed="81"/>
      <name val="Tahoma"/>
      <family val="2"/>
    </font>
    <font>
      <sz val="10"/>
      <color rgb="FF000000"/>
      <name val="Arial"/>
      <family val="2"/>
    </font>
    <font>
      <b/>
      <sz val="10"/>
      <color rgb="FF3333FF"/>
      <name val="Arial"/>
      <family val="2"/>
    </font>
    <font>
      <vertAlign val="superscript"/>
      <sz val="10"/>
      <color theme="1"/>
      <name val="Arial"/>
      <family val="2"/>
    </font>
    <font>
      <b/>
      <i/>
      <sz val="12"/>
      <color rgb="FF3333FF"/>
      <name val="Arial"/>
      <family val="2"/>
    </font>
    <font>
      <i/>
      <sz val="10"/>
      <color indexed="2"/>
      <name val="Arial"/>
      <family val="2"/>
    </font>
    <font>
      <i/>
      <sz val="10"/>
      <color indexed="45"/>
      <name val="Arial"/>
      <family val="2"/>
    </font>
    <font>
      <sz val="10"/>
      <color indexed="65"/>
      <name val="Arial"/>
      <family val="2"/>
    </font>
    <font>
      <i/>
      <sz val="10"/>
      <color indexed="19"/>
      <name val="Arial"/>
      <family val="2"/>
    </font>
    <font>
      <b/>
      <i/>
      <sz val="10"/>
      <name val="Arial"/>
      <family val="2"/>
    </font>
    <font>
      <b/>
      <sz val="10"/>
      <color rgb="FFFF0000"/>
      <name val="Arial"/>
      <family val="2"/>
    </font>
    <font>
      <sz val="10"/>
      <color rgb="FF3333FF"/>
      <name val="Arial"/>
      <family val="2"/>
    </font>
    <font>
      <sz val="11"/>
      <name val="Arial"/>
      <family val="2"/>
    </font>
    <font>
      <sz val="11"/>
      <color theme="1"/>
      <name val="Calibri"/>
      <family val="2"/>
      <scheme val="minor"/>
    </font>
    <font>
      <b/>
      <sz val="11"/>
      <name val="Calibri"/>
      <family val="2"/>
      <scheme val="minor"/>
    </font>
    <font>
      <sz val="11"/>
      <name val="Calibri"/>
      <family val="2"/>
      <scheme val="minor"/>
    </font>
    <font>
      <b/>
      <i/>
      <sz val="10"/>
      <color rgb="FF3333FF"/>
      <name val="Arial"/>
      <family val="2"/>
    </font>
    <font>
      <sz val="10"/>
      <color theme="0" tint="-0.249977111117893"/>
      <name val="Arial"/>
      <family val="2"/>
    </font>
    <font>
      <b/>
      <sz val="11"/>
      <color theme="1"/>
      <name val="Calibri"/>
      <family val="2"/>
      <scheme val="minor"/>
    </font>
    <font>
      <sz val="9"/>
      <color theme="1"/>
      <name val="Calibri"/>
      <family val="2"/>
      <scheme val="minor"/>
    </font>
    <font>
      <sz val="11"/>
      <color theme="0" tint="-4.9989318521683403E-2"/>
      <name val="Calibri"/>
      <family val="2"/>
      <scheme val="minor"/>
    </font>
  </fonts>
  <fills count="13">
    <fill>
      <patternFill patternType="none"/>
    </fill>
    <fill>
      <patternFill patternType="gray125"/>
    </fill>
    <fill>
      <patternFill patternType="solid">
        <fgColor indexed="65"/>
      </patternFill>
    </fill>
    <fill>
      <patternFill patternType="solid">
        <fgColor theme="0"/>
        <bgColor indexed="64"/>
      </patternFill>
    </fill>
    <fill>
      <patternFill patternType="solid">
        <fgColor theme="0"/>
        <bgColor indexed="5"/>
      </patternFill>
    </fill>
    <fill>
      <patternFill patternType="solid">
        <fgColor theme="0" tint="-0.14999847407452621"/>
        <bgColor indexed="64"/>
      </patternFill>
    </fill>
    <fill>
      <patternFill patternType="solid">
        <fgColor theme="0" tint="-0.14999847407452621"/>
        <bgColor indexed="42"/>
      </patternFill>
    </fill>
    <fill>
      <patternFill patternType="solid">
        <fgColor theme="0"/>
        <bgColor theme="6" tint="0.79998168889431442"/>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4.9989318521683403E-2"/>
        <bgColor indexed="42"/>
      </patternFill>
    </fill>
    <fill>
      <patternFill patternType="solid">
        <fgColor rgb="FFFFFF00"/>
        <bgColor indexed="64"/>
      </patternFill>
    </fill>
    <fill>
      <patternFill patternType="solid">
        <fgColor rgb="FF92D050"/>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ck">
        <color indexed="60"/>
      </left>
      <right style="thin">
        <color auto="1"/>
      </right>
      <top style="thick">
        <color indexed="60"/>
      </top>
      <bottom style="thin">
        <color auto="1"/>
      </bottom>
      <diagonal/>
    </border>
    <border>
      <left style="thin">
        <color auto="1"/>
      </left>
      <right style="thin">
        <color auto="1"/>
      </right>
      <top style="thick">
        <color indexed="60"/>
      </top>
      <bottom style="thin">
        <color auto="1"/>
      </bottom>
      <diagonal/>
    </border>
    <border>
      <left style="thin">
        <color auto="1"/>
      </left>
      <right style="thick">
        <color indexed="60"/>
      </right>
      <top style="thick">
        <color indexed="60"/>
      </top>
      <bottom style="thin">
        <color auto="1"/>
      </bottom>
      <diagonal/>
    </border>
    <border>
      <left style="thick">
        <color indexed="60"/>
      </left>
      <right style="thin">
        <color auto="1"/>
      </right>
      <top style="thin">
        <color auto="1"/>
      </top>
      <bottom style="thin">
        <color auto="1"/>
      </bottom>
      <diagonal/>
    </border>
    <border>
      <left style="thin">
        <color auto="1"/>
      </left>
      <right style="thick">
        <color indexed="60"/>
      </right>
      <top style="thin">
        <color auto="1"/>
      </top>
      <bottom style="thin">
        <color auto="1"/>
      </bottom>
      <diagonal/>
    </border>
    <border>
      <left style="thick">
        <color indexed="60"/>
      </left>
      <right style="thin">
        <color auto="1"/>
      </right>
      <top style="thin">
        <color auto="1"/>
      </top>
      <bottom style="thick">
        <color indexed="60"/>
      </bottom>
      <diagonal/>
    </border>
    <border>
      <left style="thin">
        <color auto="1"/>
      </left>
      <right style="thin">
        <color auto="1"/>
      </right>
      <top style="thin">
        <color auto="1"/>
      </top>
      <bottom style="thick">
        <color indexed="60"/>
      </bottom>
      <diagonal/>
    </border>
    <border>
      <left style="thin">
        <color auto="1"/>
      </left>
      <right style="thick">
        <color indexed="60"/>
      </right>
      <top style="thin">
        <color auto="1"/>
      </top>
      <bottom style="thick">
        <color indexed="60"/>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bottom style="medium">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ck">
        <color indexed="60"/>
      </left>
      <right style="thin">
        <color auto="1"/>
      </right>
      <top/>
      <bottom style="thin">
        <color auto="1"/>
      </bottom>
      <diagonal/>
    </border>
    <border>
      <left/>
      <right style="medium">
        <color indexed="64"/>
      </right>
      <top style="medium">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double">
        <color theme="0" tint="-0.24994659260841701"/>
      </right>
      <top style="thin">
        <color theme="0" tint="-0.24994659260841701"/>
      </top>
      <bottom/>
      <diagonal/>
    </border>
    <border>
      <left style="double">
        <color theme="0" tint="-0.24994659260841701"/>
      </left>
      <right style="double">
        <color theme="0" tint="-0.24994659260841701"/>
      </right>
      <top/>
      <bottom/>
      <diagonal/>
    </border>
    <border>
      <left style="double">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ouble">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ouble">
        <color theme="0" tint="-0.24994659260841701"/>
      </left>
      <right style="double">
        <color theme="0" tint="-0.24994659260841701"/>
      </right>
      <top style="thin">
        <color theme="0" tint="-0.24994659260841701"/>
      </top>
      <bottom style="thin">
        <color theme="0" tint="-0.24994659260841701"/>
      </bottom>
      <diagonal/>
    </border>
  </borders>
  <cellStyleXfs count="6">
    <xf numFmtId="0" fontId="0" fillId="0" borderId="0"/>
    <xf numFmtId="164" fontId="1" fillId="0" borderId="0" applyFont="0" applyFill="0" applyBorder="0"/>
    <xf numFmtId="0" fontId="2" fillId="0" borderId="0"/>
    <xf numFmtId="9" fontId="1" fillId="0" borderId="0" applyFont="0" applyFill="0" applyBorder="0"/>
    <xf numFmtId="0" fontId="9" fillId="0" borderId="0"/>
    <xf numFmtId="9" fontId="9" fillId="0" borderId="0" applyFont="0" applyFill="0" applyBorder="0" applyAlignment="0" applyProtection="0"/>
  </cellStyleXfs>
  <cellXfs count="514">
    <xf numFmtId="0" fontId="0" fillId="0" borderId="0" xfId="0"/>
    <xf numFmtId="0" fontId="0" fillId="0" borderId="0" xfId="0" applyAlignment="1">
      <alignment horizontal="center"/>
    </xf>
    <xf numFmtId="0" fontId="1" fillId="0" borderId="0" xfId="0" applyFont="1"/>
    <xf numFmtId="0" fontId="1" fillId="0" borderId="0" xfId="0" applyFont="1" applyAlignment="1">
      <alignment wrapText="1"/>
    </xf>
    <xf numFmtId="0" fontId="0" fillId="0" borderId="0" xfId="0" applyAlignment="1">
      <alignment wrapText="1"/>
    </xf>
    <xf numFmtId="4" fontId="1" fillId="2" borderId="0" xfId="0" applyNumberFormat="1" applyFont="1" applyFill="1"/>
    <xf numFmtId="4" fontId="3" fillId="2" borderId="0" xfId="0" applyNumberFormat="1" applyFont="1" applyFill="1" applyAlignment="1">
      <alignment horizontal="left"/>
    </xf>
    <xf numFmtId="4" fontId="4" fillId="2" borderId="0" xfId="0" applyNumberFormat="1" applyFont="1" applyFill="1"/>
    <xf numFmtId="4" fontId="1" fillId="2" borderId="1" xfId="0" applyNumberFormat="1" applyFont="1" applyFill="1" applyBorder="1" applyAlignment="1">
      <alignment horizontal="left" indent="3"/>
    </xf>
    <xf numFmtId="4" fontId="3" fillId="2" borderId="0" xfId="0" applyNumberFormat="1" applyFont="1" applyFill="1" applyAlignment="1">
      <alignment horizontal="left" indent="3"/>
    </xf>
    <xf numFmtId="4" fontId="4" fillId="2" borderId="0" xfId="0" applyNumberFormat="1" applyFont="1" applyFill="1" applyAlignment="1">
      <alignment horizontal="left"/>
    </xf>
    <xf numFmtId="4" fontId="1" fillId="0" borderId="1" xfId="0" applyNumberFormat="1" applyFont="1" applyBorder="1" applyAlignment="1">
      <alignment horizontal="left" indent="3"/>
    </xf>
    <xf numFmtId="4" fontId="3" fillId="2" borderId="1" xfId="0" applyNumberFormat="1" applyFont="1" applyFill="1" applyBorder="1" applyAlignment="1">
      <alignment horizontal="left"/>
    </xf>
    <xf numFmtId="4" fontId="1" fillId="0" borderId="0" xfId="0" applyNumberFormat="1" applyFont="1"/>
    <xf numFmtId="4" fontId="1" fillId="0" borderId="0" xfId="0" applyNumberFormat="1" applyFont="1" applyAlignment="1">
      <alignment horizontal="right"/>
    </xf>
    <xf numFmtId="167" fontId="3" fillId="0" borderId="0" xfId="0" applyNumberFormat="1" applyFont="1" applyAlignment="1">
      <alignment horizontal="center" wrapText="1"/>
    </xf>
    <xf numFmtId="167" fontId="3" fillId="0" borderId="0" xfId="0" applyNumberFormat="1" applyFont="1" applyAlignment="1">
      <alignment horizontal="center"/>
    </xf>
    <xf numFmtId="1" fontId="5" fillId="0" borderId="0" xfId="0" applyNumberFormat="1" applyFont="1" applyAlignment="1">
      <alignment horizontal="center"/>
    </xf>
    <xf numFmtId="4" fontId="1" fillId="0" borderId="0" xfId="0" applyNumberFormat="1" applyFont="1" applyAlignment="1">
      <alignment horizontal="left" indent="1"/>
    </xf>
    <xf numFmtId="4" fontId="1" fillId="0" borderId="0" xfId="1" applyNumberFormat="1" applyFont="1"/>
    <xf numFmtId="4" fontId="3" fillId="0" borderId="0" xfId="0" applyNumberFormat="1" applyFont="1" applyAlignment="1">
      <alignment horizontal="right"/>
    </xf>
    <xf numFmtId="4" fontId="1" fillId="0" borderId="0" xfId="0" applyNumberFormat="1" applyFont="1" applyAlignment="1">
      <alignment wrapText="1"/>
    </xf>
    <xf numFmtId="1" fontId="3" fillId="0" borderId="0" xfId="0" applyNumberFormat="1" applyFont="1" applyAlignment="1">
      <alignment horizontal="left" indent="1"/>
    </xf>
    <xf numFmtId="1" fontId="1" fillId="0" borderId="0" xfId="0" applyNumberFormat="1" applyFont="1" applyAlignment="1">
      <alignment horizontal="left" indent="1"/>
    </xf>
    <xf numFmtId="0" fontId="0" fillId="0" borderId="22" xfId="0" applyBorder="1"/>
    <xf numFmtId="0" fontId="0" fillId="0" borderId="23" xfId="0" applyBorder="1"/>
    <xf numFmtId="0" fontId="3" fillId="0" borderId="0" xfId="0" applyFont="1"/>
    <xf numFmtId="0" fontId="9" fillId="0" borderId="0" xfId="0" applyFont="1"/>
    <xf numFmtId="1" fontId="10" fillId="0" borderId="0" xfId="0" applyNumberFormat="1" applyFont="1"/>
    <xf numFmtId="4" fontId="10" fillId="0" borderId="0" xfId="0" applyNumberFormat="1" applyFont="1"/>
    <xf numFmtId="4" fontId="3" fillId="0" borderId="0" xfId="0" applyNumberFormat="1" applyFont="1"/>
    <xf numFmtId="1" fontId="13" fillId="0" borderId="29" xfId="0" applyNumberFormat="1" applyFont="1" applyBorder="1" applyAlignment="1">
      <alignment horizontal="left" indent="1"/>
    </xf>
    <xf numFmtId="0" fontId="9" fillId="0" borderId="29" xfId="0" applyFont="1" applyBorder="1"/>
    <xf numFmtId="1" fontId="1" fillId="0" borderId="29" xfId="0" applyNumberFormat="1" applyFont="1" applyBorder="1" applyAlignment="1">
      <alignment horizontal="left" indent="1"/>
    </xf>
    <xf numFmtId="2" fontId="0" fillId="0" borderId="0" xfId="0" applyNumberFormat="1"/>
    <xf numFmtId="1" fontId="3" fillId="0" borderId="0" xfId="0" applyNumberFormat="1" applyFont="1"/>
    <xf numFmtId="1" fontId="13" fillId="3" borderId="29" xfId="0" applyNumberFormat="1" applyFont="1" applyFill="1" applyBorder="1" applyAlignment="1">
      <alignment horizontal="left" indent="1"/>
    </xf>
    <xf numFmtId="0" fontId="9" fillId="3" borderId="29" xfId="0" applyFont="1" applyFill="1" applyBorder="1"/>
    <xf numFmtId="1" fontId="13" fillId="3" borderId="29" xfId="0" applyNumberFormat="1" applyFont="1" applyFill="1" applyBorder="1" applyAlignment="1">
      <alignment horizontal="left" wrapText="1" indent="1"/>
    </xf>
    <xf numFmtId="1" fontId="10" fillId="0" borderId="29" xfId="0" applyNumberFormat="1" applyFont="1" applyBorder="1"/>
    <xf numFmtId="1" fontId="10" fillId="3" borderId="29" xfId="0" applyNumberFormat="1" applyFont="1" applyFill="1" applyBorder="1"/>
    <xf numFmtId="1" fontId="13" fillId="3" borderId="29" xfId="0" applyNumberFormat="1" applyFont="1" applyFill="1" applyBorder="1"/>
    <xf numFmtId="4" fontId="11" fillId="0" borderId="0" xfId="0" applyNumberFormat="1" applyFont="1"/>
    <xf numFmtId="0" fontId="9" fillId="0" borderId="31" xfId="0" applyFont="1" applyBorder="1"/>
    <xf numFmtId="0" fontId="0" fillId="0" borderId="0" xfId="0" applyAlignment="1">
      <alignment horizontal="right"/>
    </xf>
    <xf numFmtId="4" fontId="13" fillId="0" borderId="0" xfId="1" applyNumberFormat="1" applyFont="1" applyAlignment="1">
      <alignment horizontal="center"/>
    </xf>
    <xf numFmtId="4" fontId="1" fillId="0" borderId="31" xfId="0" applyNumberFormat="1" applyFont="1" applyBorder="1" applyAlignment="1">
      <alignment horizontal="left" indent="3"/>
    </xf>
    <xf numFmtId="0" fontId="0" fillId="0" borderId="21" xfId="0" applyBorder="1"/>
    <xf numFmtId="0" fontId="0" fillId="0" borderId="24" xfId="0" applyBorder="1"/>
    <xf numFmtId="0" fontId="0" fillId="0" borderId="25" xfId="0" applyBorder="1"/>
    <xf numFmtId="0" fontId="0" fillId="0" borderId="26" xfId="0" applyBorder="1"/>
    <xf numFmtId="0" fontId="0" fillId="0" borderId="17" xfId="0" applyBorder="1"/>
    <xf numFmtId="0" fontId="0" fillId="0" borderId="27" xfId="0" applyBorder="1"/>
    <xf numFmtId="0" fontId="1" fillId="0" borderId="31" xfId="0" applyFont="1" applyBorder="1"/>
    <xf numFmtId="4" fontId="3" fillId="5" borderId="46" xfId="0" applyNumberFormat="1" applyFont="1" applyFill="1" applyBorder="1"/>
    <xf numFmtId="4" fontId="3" fillId="0" borderId="34" xfId="0" applyNumberFormat="1" applyFont="1" applyBorder="1"/>
    <xf numFmtId="4" fontId="3" fillId="5" borderId="1" xfId="0" applyNumberFormat="1" applyFont="1" applyFill="1" applyBorder="1" applyAlignment="1">
      <alignment horizontal="left"/>
    </xf>
    <xf numFmtId="1" fontId="3" fillId="0" borderId="31" xfId="0" applyNumberFormat="1" applyFont="1" applyBorder="1" applyAlignment="1">
      <alignment horizontal="center"/>
    </xf>
    <xf numFmtId="4" fontId="3" fillId="0" borderId="2" xfId="0" applyNumberFormat="1" applyFont="1" applyBorder="1"/>
    <xf numFmtId="4" fontId="3" fillId="5" borderId="29" xfId="0" applyNumberFormat="1" applyFont="1" applyFill="1" applyBorder="1"/>
    <xf numFmtId="4" fontId="3" fillId="5" borderId="0" xfId="0" applyNumberFormat="1" applyFont="1" applyFill="1"/>
    <xf numFmtId="4" fontId="3" fillId="5" borderId="29" xfId="0" applyNumberFormat="1" applyFont="1" applyFill="1" applyBorder="1" applyAlignment="1">
      <alignment horizontal="left"/>
    </xf>
    <xf numFmtId="0" fontId="1" fillId="5" borderId="1" xfId="0" applyFont="1" applyFill="1" applyBorder="1"/>
    <xf numFmtId="1" fontId="13" fillId="5" borderId="29" xfId="0" applyNumberFormat="1" applyFont="1" applyFill="1" applyBorder="1"/>
    <xf numFmtId="1" fontId="13" fillId="5" borderId="29" xfId="0" applyNumberFormat="1" applyFont="1" applyFill="1" applyBorder="1" applyAlignment="1">
      <alignment wrapText="1"/>
    </xf>
    <xf numFmtId="1" fontId="3" fillId="5" borderId="29" xfId="0" applyNumberFormat="1" applyFont="1" applyFill="1" applyBorder="1"/>
    <xf numFmtId="1" fontId="13" fillId="5" borderId="31" xfId="0" applyNumberFormat="1" applyFont="1" applyFill="1" applyBorder="1"/>
    <xf numFmtId="1" fontId="10" fillId="5" borderId="30" xfId="0" applyNumberFormat="1" applyFont="1" applyFill="1" applyBorder="1"/>
    <xf numFmtId="1" fontId="10" fillId="5" borderId="31" xfId="0" applyNumberFormat="1" applyFont="1" applyFill="1" applyBorder="1"/>
    <xf numFmtId="1" fontId="10" fillId="5" borderId="29" xfId="0" applyNumberFormat="1" applyFont="1" applyFill="1" applyBorder="1"/>
    <xf numFmtId="1" fontId="1" fillId="3" borderId="31" xfId="0" applyNumberFormat="1" applyFont="1" applyFill="1" applyBorder="1"/>
    <xf numFmtId="0" fontId="9" fillId="5" borderId="32" xfId="0" applyFont="1" applyFill="1" applyBorder="1"/>
    <xf numFmtId="2" fontId="9" fillId="5" borderId="33" xfId="0" applyNumberFormat="1" applyFont="1" applyFill="1" applyBorder="1" applyAlignment="1">
      <alignment horizontal="right"/>
    </xf>
    <xf numFmtId="0" fontId="9" fillId="5" borderId="34" xfId="0" applyFont="1" applyFill="1" applyBorder="1"/>
    <xf numFmtId="2" fontId="9" fillId="5" borderId="0" xfId="0" applyNumberFormat="1" applyFont="1" applyFill="1" applyAlignment="1">
      <alignment horizontal="right"/>
    </xf>
    <xf numFmtId="0" fontId="9" fillId="5" borderId="35" xfId="0" applyFont="1" applyFill="1" applyBorder="1"/>
    <xf numFmtId="0" fontId="0" fillId="5" borderId="36" xfId="0" applyFill="1" applyBorder="1" applyAlignment="1">
      <alignment horizontal="right"/>
    </xf>
    <xf numFmtId="14" fontId="3" fillId="2" borderId="0" xfId="0" applyNumberFormat="1" applyFont="1" applyFill="1" applyAlignment="1">
      <alignment horizontal="left"/>
    </xf>
    <xf numFmtId="1" fontId="1" fillId="2" borderId="0" xfId="0" applyNumberFormat="1" applyFont="1" applyFill="1" applyAlignment="1">
      <alignment horizontal="center" vertical="center"/>
    </xf>
    <xf numFmtId="14" fontId="1" fillId="2" borderId="0" xfId="0" applyNumberFormat="1" applyFont="1" applyFill="1"/>
    <xf numFmtId="4" fontId="20" fillId="2" borderId="0" xfId="0" applyNumberFormat="1" applyFont="1" applyFill="1" applyAlignment="1">
      <alignment horizontal="left" wrapText="1"/>
    </xf>
    <xf numFmtId="1" fontId="1" fillId="0" borderId="1" xfId="0" applyNumberFormat="1" applyFont="1" applyBorder="1" applyAlignment="1">
      <alignment horizontal="center"/>
    </xf>
    <xf numFmtId="1" fontId="1" fillId="0" borderId="31" xfId="0" applyNumberFormat="1" applyFont="1" applyBorder="1" applyAlignment="1">
      <alignment horizontal="center"/>
    </xf>
    <xf numFmtId="4" fontId="21" fillId="2" borderId="0" xfId="0" applyNumberFormat="1" applyFont="1" applyFill="1" applyAlignment="1">
      <alignment horizontal="right"/>
    </xf>
    <xf numFmtId="1" fontId="21" fillId="2" borderId="0" xfId="0" applyNumberFormat="1" applyFont="1" applyFill="1" applyAlignment="1">
      <alignment horizontal="right"/>
    </xf>
    <xf numFmtId="1" fontId="21" fillId="2" borderId="42" xfId="0" applyNumberFormat="1" applyFont="1" applyFill="1" applyBorder="1" applyAlignment="1">
      <alignment horizontal="right"/>
    </xf>
    <xf numFmtId="4" fontId="21" fillId="2" borderId="0" xfId="0" applyNumberFormat="1" applyFont="1" applyFill="1"/>
    <xf numFmtId="4" fontId="3" fillId="5" borderId="1" xfId="0" applyNumberFormat="1" applyFont="1" applyFill="1" applyBorder="1"/>
    <xf numFmtId="4" fontId="22" fillId="0" borderId="0" xfId="0" applyNumberFormat="1" applyFont="1"/>
    <xf numFmtId="4" fontId="22" fillId="2" borderId="0" xfId="0" applyNumberFormat="1" applyFont="1" applyFill="1"/>
    <xf numFmtId="4" fontId="1" fillId="2" borderId="0" xfId="0" applyNumberFormat="1" applyFont="1" applyFill="1" applyAlignment="1">
      <alignment horizontal="left" indent="1"/>
    </xf>
    <xf numFmtId="4" fontId="23" fillId="2" borderId="0" xfId="0" applyNumberFormat="1" applyFont="1" applyFill="1" applyAlignment="1">
      <alignment horizontal="left" indent="1"/>
    </xf>
    <xf numFmtId="4" fontId="1" fillId="5" borderId="1" xfId="0" applyNumberFormat="1" applyFont="1" applyFill="1" applyBorder="1"/>
    <xf numFmtId="4" fontId="1" fillId="5" borderId="1" xfId="0" applyNumberFormat="1" applyFont="1" applyFill="1" applyBorder="1" applyAlignment="1">
      <alignment horizontal="left" indent="6"/>
    </xf>
    <xf numFmtId="4" fontId="1" fillId="5" borderId="29" xfId="0" applyNumberFormat="1" applyFont="1" applyFill="1" applyBorder="1"/>
    <xf numFmtId="4" fontId="1" fillId="2" borderId="1" xfId="0" applyNumberFormat="1" applyFont="1" applyFill="1" applyBorder="1" applyAlignment="1">
      <alignment horizontal="left"/>
    </xf>
    <xf numFmtId="4" fontId="1" fillId="2" borderId="29" xfId="0" applyNumberFormat="1" applyFont="1" applyFill="1" applyBorder="1" applyAlignment="1">
      <alignment horizontal="left"/>
    </xf>
    <xf numFmtId="4" fontId="1" fillId="2" borderId="1" xfId="0" applyNumberFormat="1" applyFont="1" applyFill="1" applyBorder="1"/>
    <xf numFmtId="4" fontId="1" fillId="2" borderId="1" xfId="0" applyNumberFormat="1" applyFont="1" applyFill="1" applyBorder="1" applyAlignment="1">
      <alignment wrapText="1"/>
    </xf>
    <xf numFmtId="4" fontId="3" fillId="2" borderId="0" xfId="0" applyNumberFormat="1" applyFont="1" applyFill="1" applyAlignment="1">
      <alignment horizontal="left" indent="1"/>
    </xf>
    <xf numFmtId="4" fontId="3" fillId="0" borderId="32" xfId="0" applyNumberFormat="1" applyFont="1" applyBorder="1" applyAlignment="1">
      <alignment horizontal="left" indent="2"/>
    </xf>
    <xf numFmtId="4" fontId="3" fillId="2" borderId="0" xfId="0" applyNumberFormat="1" applyFont="1" applyFill="1"/>
    <xf numFmtId="4" fontId="3" fillId="0" borderId="35" xfId="0" applyNumberFormat="1" applyFont="1" applyBorder="1"/>
    <xf numFmtId="0" fontId="1" fillId="0" borderId="1" xfId="0" applyFont="1" applyBorder="1"/>
    <xf numFmtId="0" fontId="9" fillId="0" borderId="1" xfId="0" applyFont="1" applyBorder="1"/>
    <xf numFmtId="4" fontId="1" fillId="5" borderId="0" xfId="0" applyNumberFormat="1" applyFont="1" applyFill="1"/>
    <xf numFmtId="4" fontId="1" fillId="2" borderId="31" xfId="0" applyNumberFormat="1" applyFont="1" applyFill="1" applyBorder="1" applyAlignment="1">
      <alignment wrapText="1"/>
    </xf>
    <xf numFmtId="0" fontId="9" fillId="0" borderId="1" xfId="0" applyFont="1" applyBorder="1" applyAlignment="1">
      <alignment wrapText="1"/>
    </xf>
    <xf numFmtId="0" fontId="9" fillId="0" borderId="31" xfId="0" applyFont="1" applyBorder="1" applyAlignment="1">
      <alignment wrapText="1"/>
    </xf>
    <xf numFmtId="4" fontId="1" fillId="5" borderId="43" xfId="0" applyNumberFormat="1" applyFont="1" applyFill="1" applyBorder="1" applyAlignment="1">
      <alignment wrapText="1"/>
    </xf>
    <xf numFmtId="4" fontId="1" fillId="0" borderId="31" xfId="0" applyNumberFormat="1" applyFont="1" applyBorder="1" applyAlignment="1">
      <alignment horizontal="left"/>
    </xf>
    <xf numFmtId="4" fontId="3" fillId="0" borderId="36" xfId="0" applyNumberFormat="1" applyFont="1" applyBorder="1"/>
    <xf numFmtId="4" fontId="1" fillId="2" borderId="29" xfId="0" applyNumberFormat="1" applyFont="1" applyFill="1" applyBorder="1" applyAlignment="1">
      <alignment horizontal="left" indent="3"/>
    </xf>
    <xf numFmtId="4" fontId="1" fillId="3" borderId="0" xfId="0" applyNumberFormat="1" applyFont="1" applyFill="1"/>
    <xf numFmtId="4" fontId="1" fillId="2" borderId="31" xfId="0" applyNumberFormat="1" applyFont="1" applyFill="1" applyBorder="1" applyAlignment="1">
      <alignment horizontal="left" indent="3"/>
    </xf>
    <xf numFmtId="4" fontId="1" fillId="0" borderId="1" xfId="0" applyNumberFormat="1" applyFont="1" applyBorder="1"/>
    <xf numFmtId="4" fontId="3" fillId="0" borderId="1" xfId="0" applyNumberFormat="1" applyFont="1" applyBorder="1"/>
    <xf numFmtId="4" fontId="25" fillId="2" borderId="0" xfId="0" applyNumberFormat="1" applyFont="1" applyFill="1" applyAlignment="1">
      <alignment horizontal="left"/>
    </xf>
    <xf numFmtId="4" fontId="22" fillId="2" borderId="0" xfId="0" applyNumberFormat="1" applyFont="1" applyFill="1" applyAlignment="1">
      <alignment horizontal="right"/>
    </xf>
    <xf numFmtId="1" fontId="1" fillId="2" borderId="0" xfId="0" applyNumberFormat="1" applyFont="1" applyFill="1" applyAlignment="1">
      <alignment horizontal="right"/>
    </xf>
    <xf numFmtId="1" fontId="1" fillId="2" borderId="0" xfId="0" applyNumberFormat="1" applyFont="1" applyFill="1"/>
    <xf numFmtId="4" fontId="1" fillId="2" borderId="0" xfId="0" applyNumberFormat="1" applyFont="1" applyFill="1" applyAlignment="1">
      <alignment horizontal="right"/>
    </xf>
    <xf numFmtId="4" fontId="3" fillId="4" borderId="0" xfId="0" applyNumberFormat="1" applyFont="1" applyFill="1"/>
    <xf numFmtId="1" fontId="1" fillId="4" borderId="0" xfId="0" applyNumberFormat="1" applyFont="1" applyFill="1" applyAlignment="1">
      <alignment horizontal="right"/>
    </xf>
    <xf numFmtId="4" fontId="1" fillId="4" borderId="0" xfId="0" applyNumberFormat="1" applyFont="1" applyFill="1"/>
    <xf numFmtId="4" fontId="9" fillId="0" borderId="0" xfId="0" applyNumberFormat="1" applyFont="1"/>
    <xf numFmtId="4" fontId="3" fillId="2" borderId="1" xfId="0" applyNumberFormat="1" applyFont="1" applyFill="1" applyBorder="1"/>
    <xf numFmtId="4" fontId="1" fillId="2" borderId="0" xfId="0" applyNumberFormat="1" applyFont="1" applyFill="1" applyAlignment="1">
      <alignment horizontal="left" indent="3"/>
    </xf>
    <xf numFmtId="4" fontId="1" fillId="0" borderId="29" xfId="0" applyNumberFormat="1" applyFont="1" applyBorder="1" applyAlignment="1">
      <alignment horizontal="left" indent="3"/>
    </xf>
    <xf numFmtId="4" fontId="1" fillId="3" borderId="1" xfId="0" applyNumberFormat="1" applyFont="1" applyFill="1" applyBorder="1" applyAlignment="1">
      <alignment horizontal="left" indent="3"/>
    </xf>
    <xf numFmtId="4" fontId="1" fillId="0" borderId="0" xfId="3" applyNumberFormat="1" applyFont="1" applyAlignment="1">
      <alignment horizontal="right"/>
    </xf>
    <xf numFmtId="3" fontId="1" fillId="2" borderId="0" xfId="0" applyNumberFormat="1" applyFont="1" applyFill="1"/>
    <xf numFmtId="4" fontId="1" fillId="2" borderId="0" xfId="0" applyNumberFormat="1" applyFont="1" applyFill="1" applyAlignment="1">
      <alignment wrapText="1"/>
    </xf>
    <xf numFmtId="0" fontId="1" fillId="0" borderId="1" xfId="0" applyFont="1" applyBorder="1" applyAlignment="1">
      <alignment wrapText="1"/>
    </xf>
    <xf numFmtId="0" fontId="3" fillId="0" borderId="51" xfId="0" applyFont="1" applyBorder="1" applyAlignment="1">
      <alignment wrapText="1"/>
    </xf>
    <xf numFmtId="1" fontId="3" fillId="0" borderId="19" xfId="0" applyNumberFormat="1" applyFont="1" applyBorder="1"/>
    <xf numFmtId="1" fontId="3" fillId="0" borderId="20" xfId="0" applyNumberFormat="1" applyFont="1" applyBorder="1"/>
    <xf numFmtId="1" fontId="3" fillId="0" borderId="49" xfId="0" applyNumberFormat="1" applyFont="1" applyBorder="1"/>
    <xf numFmtId="1" fontId="1" fillId="0" borderId="0" xfId="0" applyNumberFormat="1" applyFont="1"/>
    <xf numFmtId="0" fontId="3" fillId="0" borderId="1" xfId="0" applyFont="1" applyBorder="1"/>
    <xf numFmtId="0" fontId="3" fillId="0" borderId="31" xfId="0" applyFont="1" applyBorder="1"/>
    <xf numFmtId="0" fontId="1" fillId="0" borderId="31" xfId="0" applyFont="1" applyBorder="1" applyAlignment="1">
      <alignment wrapText="1"/>
    </xf>
    <xf numFmtId="0" fontId="1" fillId="0" borderId="46" xfId="0" applyFont="1" applyBorder="1"/>
    <xf numFmtId="0" fontId="3" fillId="0" borderId="46" xfId="0" applyFont="1" applyBorder="1"/>
    <xf numFmtId="0" fontId="1" fillId="0" borderId="46" xfId="0" applyFont="1" applyBorder="1" applyAlignment="1">
      <alignment wrapText="1"/>
    </xf>
    <xf numFmtId="3" fontId="3" fillId="0" borderId="46" xfId="0" applyNumberFormat="1" applyFont="1" applyBorder="1"/>
    <xf numFmtId="0" fontId="17" fillId="0" borderId="46" xfId="0" applyFont="1" applyBorder="1"/>
    <xf numFmtId="3" fontId="1" fillId="0" borderId="46" xfId="0" applyNumberFormat="1" applyFont="1" applyBorder="1"/>
    <xf numFmtId="3" fontId="1" fillId="0" borderId="50" xfId="0" applyNumberFormat="1" applyFont="1" applyBorder="1" applyAlignment="1">
      <alignment horizontal="right" wrapText="1"/>
    </xf>
    <xf numFmtId="4" fontId="1" fillId="2" borderId="53" xfId="0" applyNumberFormat="1" applyFont="1" applyFill="1" applyBorder="1" applyAlignment="1">
      <alignment horizontal="right"/>
    </xf>
    <xf numFmtId="4" fontId="1" fillId="2" borderId="18" xfId="0" applyNumberFormat="1" applyFont="1" applyFill="1" applyBorder="1" applyAlignment="1">
      <alignment horizontal="right"/>
    </xf>
    <xf numFmtId="4" fontId="1" fillId="2" borderId="48" xfId="0" applyNumberFormat="1" applyFont="1" applyFill="1" applyBorder="1" applyAlignment="1">
      <alignment horizontal="right"/>
    </xf>
    <xf numFmtId="0" fontId="1" fillId="0" borderId="41" xfId="0" applyFont="1" applyBorder="1" applyAlignment="1">
      <alignment wrapText="1"/>
    </xf>
    <xf numFmtId="0" fontId="1" fillId="0" borderId="1" xfId="0" applyFont="1" applyBorder="1" applyAlignment="1">
      <alignment horizontal="center" wrapText="1"/>
    </xf>
    <xf numFmtId="165" fontId="1" fillId="6" borderId="12" xfId="0" applyNumberFormat="1" applyFont="1" applyFill="1" applyBorder="1" applyAlignment="1">
      <alignment horizontal="right" wrapText="1"/>
    </xf>
    <xf numFmtId="3" fontId="1" fillId="6" borderId="12" xfId="0" applyNumberFormat="1" applyFont="1" applyFill="1" applyBorder="1"/>
    <xf numFmtId="3" fontId="1" fillId="6" borderId="13" xfId="0" applyNumberFormat="1" applyFont="1" applyFill="1" applyBorder="1"/>
    <xf numFmtId="0" fontId="1" fillId="0" borderId="7" xfId="0" applyFont="1" applyBorder="1" applyAlignment="1">
      <alignment horizontal="left" wrapText="1"/>
    </xf>
    <xf numFmtId="0" fontId="1" fillId="0" borderId="7" xfId="0" applyFont="1" applyBorder="1" applyAlignment="1">
      <alignment wrapText="1"/>
    </xf>
    <xf numFmtId="1" fontId="1" fillId="2" borderId="0" xfId="0" applyNumberFormat="1" applyFont="1" applyFill="1" applyAlignment="1">
      <alignment horizontal="left" vertical="center"/>
    </xf>
    <xf numFmtId="4" fontId="3" fillId="5" borderId="31" xfId="0" applyNumberFormat="1" applyFont="1" applyFill="1" applyBorder="1"/>
    <xf numFmtId="1" fontId="1" fillId="0" borderId="29" xfId="0" applyNumberFormat="1" applyFont="1" applyBorder="1" applyAlignment="1">
      <alignment horizontal="left"/>
    </xf>
    <xf numFmtId="0" fontId="12" fillId="5" borderId="29" xfId="0" applyFont="1" applyFill="1" applyBorder="1"/>
    <xf numFmtId="4" fontId="3" fillId="5" borderId="14" xfId="0" applyNumberFormat="1" applyFont="1" applyFill="1" applyBorder="1"/>
    <xf numFmtId="4" fontId="1" fillId="2" borderId="31" xfId="0" applyNumberFormat="1" applyFont="1" applyFill="1" applyBorder="1"/>
    <xf numFmtId="0" fontId="12" fillId="5" borderId="0" xfId="0" applyFont="1" applyFill="1"/>
    <xf numFmtId="4" fontId="1" fillId="5" borderId="41" xfId="0" applyNumberFormat="1" applyFont="1" applyFill="1" applyBorder="1"/>
    <xf numFmtId="4" fontId="1" fillId="2" borderId="31" xfId="0" applyNumberFormat="1" applyFont="1" applyFill="1" applyBorder="1" applyAlignment="1">
      <alignment horizontal="left"/>
    </xf>
    <xf numFmtId="4" fontId="11" fillId="2" borderId="31" xfId="0" applyNumberFormat="1" applyFont="1" applyFill="1" applyBorder="1"/>
    <xf numFmtId="4" fontId="1" fillId="9" borderId="0" xfId="0" applyNumberFormat="1" applyFont="1" applyFill="1" applyAlignment="1">
      <alignment horizontal="center" vertical="center" wrapText="1"/>
    </xf>
    <xf numFmtId="0" fontId="1" fillId="10" borderId="39" xfId="0" applyFont="1" applyFill="1" applyBorder="1" applyAlignment="1">
      <alignment vertical="center" wrapText="1"/>
    </xf>
    <xf numFmtId="0" fontId="0" fillId="9" borderId="0" xfId="0" applyFill="1"/>
    <xf numFmtId="0" fontId="0" fillId="3" borderId="0" xfId="0" applyFill="1"/>
    <xf numFmtId="0" fontId="1" fillId="10" borderId="1" xfId="0" applyFont="1" applyFill="1" applyBorder="1" applyAlignment="1">
      <alignment vertical="center" wrapText="1"/>
    </xf>
    <xf numFmtId="0" fontId="1" fillId="10" borderId="29" xfId="0" applyFont="1" applyFill="1" applyBorder="1" applyAlignment="1">
      <alignment vertical="center" wrapText="1"/>
    </xf>
    <xf numFmtId="0" fontId="1" fillId="10" borderId="1" xfId="0" applyFont="1" applyFill="1" applyBorder="1" applyAlignment="1">
      <alignment horizontal="center" vertical="center" wrapText="1"/>
    </xf>
    <xf numFmtId="0" fontId="1" fillId="9" borderId="31" xfId="0" applyFont="1" applyFill="1" applyBorder="1" applyAlignment="1">
      <alignment vertical="center" wrapText="1"/>
    </xf>
    <xf numFmtId="0" fontId="0" fillId="9" borderId="31" xfId="0" applyFill="1" applyBorder="1"/>
    <xf numFmtId="168" fontId="9" fillId="9" borderId="31" xfId="0" applyNumberFormat="1" applyFont="1" applyFill="1" applyBorder="1"/>
    <xf numFmtId="168" fontId="0" fillId="9" borderId="31" xfId="0" applyNumberFormat="1" applyFill="1" applyBorder="1"/>
    <xf numFmtId="169" fontId="0" fillId="9" borderId="31" xfId="0" applyNumberFormat="1" applyFill="1" applyBorder="1"/>
    <xf numFmtId="0" fontId="27" fillId="9" borderId="31" xfId="0" applyFont="1" applyFill="1" applyBorder="1" applyAlignment="1">
      <alignment vertical="center" wrapText="1"/>
    </xf>
    <xf numFmtId="0" fontId="16" fillId="9" borderId="31" xfId="0" applyFont="1" applyFill="1" applyBorder="1"/>
    <xf numFmtId="0" fontId="13" fillId="9" borderId="31" xfId="0" applyFont="1" applyFill="1" applyBorder="1" applyAlignment="1">
      <alignment vertical="center" wrapText="1"/>
    </xf>
    <xf numFmtId="0" fontId="0" fillId="0" borderId="0" xfId="0" applyAlignment="1">
      <alignment vertical="center"/>
    </xf>
    <xf numFmtId="4" fontId="1" fillId="9" borderId="1" xfId="0" applyNumberFormat="1" applyFont="1" applyFill="1" applyBorder="1" applyAlignment="1">
      <alignment horizontal="right" vertical="center" wrapText="1"/>
    </xf>
    <xf numFmtId="2" fontId="1" fillId="9" borderId="1" xfId="3" applyNumberFormat="1" applyFont="1" applyFill="1" applyBorder="1" applyAlignment="1">
      <alignment horizontal="right" vertical="center" wrapText="1"/>
    </xf>
    <xf numFmtId="0" fontId="1" fillId="10" borderId="31" xfId="0" applyFont="1" applyFill="1" applyBorder="1" applyAlignment="1">
      <alignment horizontal="right" vertical="center" wrapText="1"/>
    </xf>
    <xf numFmtId="4" fontId="1" fillId="0" borderId="1" xfId="0" applyNumberFormat="1" applyFont="1" applyBorder="1" applyAlignment="1" applyProtection="1">
      <alignment horizontal="right" vertical="center" wrapText="1"/>
      <protection locked="0"/>
    </xf>
    <xf numFmtId="0" fontId="28" fillId="0" borderId="0" xfId="0" applyFont="1"/>
    <xf numFmtId="0" fontId="28" fillId="9" borderId="31" xfId="0" applyFont="1" applyFill="1" applyBorder="1"/>
    <xf numFmtId="0" fontId="30" fillId="9" borderId="31" xfId="0" applyFont="1" applyFill="1" applyBorder="1" applyAlignment="1">
      <alignment horizontal="center" wrapText="1"/>
    </xf>
    <xf numFmtId="0" fontId="28" fillId="9" borderId="31" xfId="0" applyFont="1" applyFill="1" applyBorder="1" applyAlignment="1">
      <alignment horizontal="center"/>
    </xf>
    <xf numFmtId="166" fontId="28" fillId="9" borderId="31" xfId="0" applyNumberFormat="1" applyFont="1" applyFill="1" applyBorder="1"/>
    <xf numFmtId="0" fontId="28" fillId="7" borderId="31" xfId="0" applyFont="1" applyFill="1" applyBorder="1" applyAlignment="1" applyProtection="1">
      <alignment horizontal="center"/>
      <protection locked="0"/>
    </xf>
    <xf numFmtId="0" fontId="28" fillId="0" borderId="31" xfId="0" applyFont="1" applyBorder="1" applyAlignment="1" applyProtection="1">
      <alignment horizontal="center"/>
      <protection locked="0"/>
    </xf>
    <xf numFmtId="0" fontId="12" fillId="9" borderId="31" xfId="0" applyFont="1" applyFill="1" applyBorder="1" applyAlignment="1">
      <alignment horizontal="center" vertical="center"/>
    </xf>
    <xf numFmtId="0" fontId="9" fillId="9" borderId="31" xfId="0" applyFont="1" applyFill="1" applyBorder="1"/>
    <xf numFmtId="0" fontId="1" fillId="9" borderId="31" xfId="0" applyFont="1" applyFill="1" applyBorder="1"/>
    <xf numFmtId="0" fontId="12" fillId="9" borderId="0" xfId="0" applyFont="1" applyFill="1"/>
    <xf numFmtId="0" fontId="9" fillId="9" borderId="0" xfId="0" applyFont="1" applyFill="1"/>
    <xf numFmtId="0" fontId="12" fillId="9" borderId="31" xfId="0" applyFont="1" applyFill="1" applyBorder="1"/>
    <xf numFmtId="0" fontId="0" fillId="9" borderId="0" xfId="0" applyFill="1" applyAlignment="1">
      <alignment wrapText="1"/>
    </xf>
    <xf numFmtId="1" fontId="0" fillId="9" borderId="0" xfId="0" applyNumberFormat="1" applyFill="1" applyAlignment="1">
      <alignment horizontal="center"/>
    </xf>
    <xf numFmtId="0" fontId="0" fillId="9" borderId="0" xfId="0" applyFill="1" applyAlignment="1">
      <alignment horizontal="center"/>
    </xf>
    <xf numFmtId="0" fontId="12" fillId="9" borderId="31" xfId="0" applyFont="1" applyFill="1" applyBorder="1" applyAlignment="1">
      <alignment horizontal="center" vertical="center" wrapText="1"/>
    </xf>
    <xf numFmtId="0" fontId="0" fillId="9" borderId="31" xfId="0" applyFill="1" applyBorder="1" applyAlignment="1">
      <alignment horizontal="left"/>
    </xf>
    <xf numFmtId="4" fontId="12" fillId="9" borderId="31" xfId="0" applyNumberFormat="1" applyFont="1" applyFill="1" applyBorder="1" applyAlignment="1">
      <alignment horizontal="right"/>
    </xf>
    <xf numFmtId="4" fontId="12" fillId="9" borderId="31" xfId="0" applyNumberFormat="1" applyFont="1" applyFill="1" applyBorder="1"/>
    <xf numFmtId="0" fontId="0" fillId="9" borderId="0" xfId="0" applyFill="1" applyAlignment="1">
      <alignment horizontal="left"/>
    </xf>
    <xf numFmtId="4" fontId="12" fillId="9" borderId="0" xfId="0" applyNumberFormat="1" applyFont="1" applyFill="1" applyAlignment="1">
      <alignment horizontal="right"/>
    </xf>
    <xf numFmtId="4" fontId="12" fillId="9" borderId="0" xfId="0" applyNumberFormat="1" applyFont="1" applyFill="1"/>
    <xf numFmtId="0" fontId="12" fillId="9" borderId="31" xfId="0" applyFont="1" applyFill="1" applyBorder="1" applyAlignment="1">
      <alignment horizontal="left" vertical="center" wrapText="1"/>
    </xf>
    <xf numFmtId="0" fontId="12" fillId="9" borderId="31" xfId="0" applyFont="1" applyFill="1" applyBorder="1" applyAlignment="1">
      <alignment vertical="center" wrapText="1"/>
    </xf>
    <xf numFmtId="0" fontId="19" fillId="11" borderId="0" xfId="0" applyFont="1" applyFill="1"/>
    <xf numFmtId="0" fontId="9" fillId="11" borderId="0" xfId="0" applyFont="1" applyFill="1"/>
    <xf numFmtId="0" fontId="1" fillId="11" borderId="0" xfId="0" applyFont="1" applyFill="1"/>
    <xf numFmtId="0" fontId="1" fillId="11" borderId="0" xfId="0" applyFont="1" applyFill="1" applyAlignment="1">
      <alignment horizontal="left" vertical="top"/>
    </xf>
    <xf numFmtId="0" fontId="0" fillId="11" borderId="0" xfId="0" applyFill="1"/>
    <xf numFmtId="0" fontId="0" fillId="11" borderId="0" xfId="0" applyFill="1" applyAlignment="1">
      <alignment horizontal="center"/>
    </xf>
    <xf numFmtId="10" fontId="1" fillId="9" borderId="31" xfId="0" applyNumberFormat="1" applyFont="1" applyFill="1" applyBorder="1" applyAlignment="1">
      <alignment vertical="center" wrapText="1"/>
    </xf>
    <xf numFmtId="2" fontId="1" fillId="9" borderId="31" xfId="0" applyNumberFormat="1" applyFont="1" applyFill="1" applyBorder="1" applyAlignment="1">
      <alignment vertical="center" wrapText="1"/>
    </xf>
    <xf numFmtId="0" fontId="32" fillId="9" borderId="31" xfId="0" applyFont="1" applyFill="1" applyBorder="1" applyAlignment="1">
      <alignment vertical="center" wrapText="1"/>
    </xf>
    <xf numFmtId="2" fontId="9" fillId="9" borderId="31" xfId="0" applyNumberFormat="1" applyFont="1" applyFill="1" applyBorder="1"/>
    <xf numFmtId="4" fontId="0" fillId="9" borderId="31" xfId="0" applyNumberFormat="1" applyFill="1" applyBorder="1" applyAlignment="1">
      <alignment horizontal="right"/>
    </xf>
    <xf numFmtId="0" fontId="12" fillId="9" borderId="31" xfId="0" applyFont="1" applyFill="1" applyBorder="1" applyAlignment="1">
      <alignment horizontal="center"/>
    </xf>
    <xf numFmtId="0" fontId="0" fillId="9" borderId="31" xfId="0" applyFill="1" applyBorder="1" applyAlignment="1">
      <alignment horizontal="center"/>
    </xf>
    <xf numFmtId="4" fontId="0" fillId="9" borderId="31" xfId="0" applyNumberFormat="1" applyFill="1" applyBorder="1" applyAlignment="1">
      <alignment horizontal="left"/>
    </xf>
    <xf numFmtId="0" fontId="9" fillId="9" borderId="31" xfId="0" applyFont="1" applyFill="1" applyBorder="1" applyAlignment="1">
      <alignment wrapText="1"/>
    </xf>
    <xf numFmtId="0" fontId="28" fillId="0" borderId="0" xfId="4" applyFont="1" applyAlignment="1">
      <alignment horizontal="left" vertical="top"/>
    </xf>
    <xf numFmtId="0" fontId="28" fillId="0" borderId="0" xfId="4" applyFont="1"/>
    <xf numFmtId="0" fontId="33" fillId="0" borderId="0" xfId="4" applyFont="1" applyAlignment="1">
      <alignment horizontal="left" vertical="top"/>
    </xf>
    <xf numFmtId="0" fontId="28" fillId="9" borderId="54" xfId="4" applyFont="1" applyFill="1" applyBorder="1" applyAlignment="1">
      <alignment horizontal="center" vertical="center" wrapText="1"/>
    </xf>
    <xf numFmtId="0" fontId="28" fillId="9" borderId="55" xfId="4" applyFont="1" applyFill="1" applyBorder="1" applyAlignment="1">
      <alignment horizontal="center" vertical="center" wrapText="1"/>
    </xf>
    <xf numFmtId="0" fontId="28" fillId="9" borderId="56" xfId="4" applyFont="1" applyFill="1" applyBorder="1" applyAlignment="1">
      <alignment horizontal="center" vertical="center" wrapText="1"/>
    </xf>
    <xf numFmtId="0" fontId="28" fillId="9" borderId="57" xfId="4" applyFont="1" applyFill="1" applyBorder="1" applyAlignment="1">
      <alignment horizontal="center" vertical="center" wrapText="1"/>
    </xf>
    <xf numFmtId="0" fontId="28" fillId="9" borderId="58" xfId="4" applyFont="1" applyFill="1" applyBorder="1" applyAlignment="1">
      <alignment horizontal="center" vertical="center" wrapText="1"/>
    </xf>
    <xf numFmtId="0" fontId="28" fillId="9" borderId="59" xfId="4" applyFont="1" applyFill="1" applyBorder="1" applyAlignment="1">
      <alignment horizontal="center" vertical="center" wrapText="1"/>
    </xf>
    <xf numFmtId="0" fontId="30" fillId="9" borderId="60" xfId="4" applyFont="1" applyFill="1" applyBorder="1" applyAlignment="1">
      <alignment horizontal="left" vertical="top" wrapText="1"/>
    </xf>
    <xf numFmtId="0" fontId="28" fillId="9" borderId="60" xfId="4" applyFont="1" applyFill="1" applyBorder="1" applyAlignment="1">
      <alignment horizontal="left" vertical="top"/>
    </xf>
    <xf numFmtId="0" fontId="28" fillId="9" borderId="60" xfId="4" applyFont="1" applyFill="1" applyBorder="1" applyAlignment="1">
      <alignment horizontal="left" vertical="center"/>
    </xf>
    <xf numFmtId="0" fontId="28" fillId="8" borderId="60" xfId="4" applyFont="1" applyFill="1" applyBorder="1" applyAlignment="1">
      <alignment horizontal="center" vertical="center"/>
    </xf>
    <xf numFmtId="3" fontId="28" fillId="9" borderId="62" xfId="4" applyNumberFormat="1" applyFont="1" applyFill="1" applyBorder="1" applyAlignment="1">
      <alignment horizontal="center" vertical="top"/>
    </xf>
    <xf numFmtId="9" fontId="28" fillId="9" borderId="60" xfId="4" applyNumberFormat="1" applyFont="1" applyFill="1" applyBorder="1" applyAlignment="1">
      <alignment horizontal="center" vertical="top"/>
    </xf>
    <xf numFmtId="1" fontId="28" fillId="9" borderId="54" xfId="5" applyNumberFormat="1" applyFont="1" applyFill="1" applyBorder="1" applyAlignment="1" applyProtection="1">
      <alignment horizontal="center"/>
    </xf>
    <xf numFmtId="0" fontId="28" fillId="9" borderId="63" xfId="4" applyFont="1" applyFill="1" applyBorder="1" applyAlignment="1">
      <alignment horizontal="center" vertical="center"/>
    </xf>
    <xf numFmtId="0" fontId="28" fillId="0" borderId="60" xfId="4" applyFont="1" applyBorder="1" applyAlignment="1">
      <alignment horizontal="center" vertical="center"/>
    </xf>
    <xf numFmtId="1" fontId="28" fillId="9" borderId="63" xfId="5" applyNumberFormat="1" applyFont="1" applyFill="1" applyBorder="1" applyAlignment="1" applyProtection="1">
      <alignment horizontal="center"/>
    </xf>
    <xf numFmtId="49" fontId="28" fillId="9" borderId="60" xfId="4" applyNumberFormat="1" applyFont="1" applyFill="1" applyBorder="1" applyAlignment="1">
      <alignment horizontal="left" vertical="top" wrapText="1"/>
    </xf>
    <xf numFmtId="0" fontId="28" fillId="0" borderId="0" xfId="4" applyFont="1" applyAlignment="1">
      <alignment vertical="top"/>
    </xf>
    <xf numFmtId="1" fontId="28" fillId="9" borderId="64" xfId="5" applyNumberFormat="1" applyFont="1" applyFill="1" applyBorder="1" applyAlignment="1" applyProtection="1">
      <alignment horizontal="center"/>
    </xf>
    <xf numFmtId="0" fontId="28" fillId="9" borderId="65" xfId="4" applyFont="1" applyFill="1" applyBorder="1" applyAlignment="1">
      <alignment vertical="top"/>
    </xf>
    <xf numFmtId="0" fontId="28" fillId="9" borderId="66" xfId="4" applyFont="1" applyFill="1" applyBorder="1" applyAlignment="1">
      <alignment horizontal="left" vertical="top"/>
    </xf>
    <xf numFmtId="0" fontId="28" fillId="9" borderId="66" xfId="4" applyFont="1" applyFill="1" applyBorder="1"/>
    <xf numFmtId="0" fontId="28" fillId="9" borderId="0" xfId="4" applyFont="1" applyFill="1"/>
    <xf numFmtId="0" fontId="28" fillId="0" borderId="0" xfId="4" applyFont="1" applyAlignment="1">
      <alignment vertical="center"/>
    </xf>
    <xf numFmtId="0" fontId="28" fillId="0" borderId="0" xfId="4" applyFont="1" applyAlignment="1">
      <alignment horizontal="left" vertical="center"/>
    </xf>
    <xf numFmtId="9" fontId="28" fillId="12" borderId="60" xfId="4" applyNumberFormat="1" applyFont="1" applyFill="1" applyBorder="1" applyAlignment="1">
      <alignment horizontal="center" vertical="center"/>
    </xf>
    <xf numFmtId="0" fontId="28" fillId="9" borderId="0" xfId="4" applyFont="1" applyFill="1" applyAlignment="1">
      <alignment horizontal="center" vertical="top"/>
    </xf>
    <xf numFmtId="9" fontId="28" fillId="12" borderId="61" xfId="4" applyNumberFormat="1" applyFont="1" applyFill="1" applyBorder="1" applyAlignment="1">
      <alignment horizontal="center" vertical="center"/>
    </xf>
    <xf numFmtId="2" fontId="28" fillId="12" borderId="60" xfId="4" applyNumberFormat="1" applyFont="1" applyFill="1" applyBorder="1" applyAlignment="1">
      <alignment horizontal="center" vertical="center"/>
    </xf>
    <xf numFmtId="2" fontId="28" fillId="12" borderId="61" xfId="4" applyNumberFormat="1" applyFont="1" applyFill="1" applyBorder="1" applyAlignment="1">
      <alignment horizontal="center" vertical="center"/>
    </xf>
    <xf numFmtId="2" fontId="28" fillId="12" borderId="60" xfId="4" applyNumberFormat="1" applyFont="1" applyFill="1" applyBorder="1" applyAlignment="1">
      <alignment horizontal="center" vertical="top"/>
    </xf>
    <xf numFmtId="2" fontId="28" fillId="12" borderId="61" xfId="4" applyNumberFormat="1" applyFont="1" applyFill="1" applyBorder="1" applyAlignment="1">
      <alignment horizontal="center" vertical="top"/>
    </xf>
    <xf numFmtId="1" fontId="1" fillId="2" borderId="31" xfId="0" applyNumberFormat="1" applyFont="1" applyFill="1" applyBorder="1" applyAlignment="1">
      <alignment horizontal="center"/>
    </xf>
    <xf numFmtId="4" fontId="3" fillId="5" borderId="0" xfId="0" applyNumberFormat="1" applyFont="1" applyFill="1" applyAlignment="1">
      <alignment horizontal="right" vertical="center"/>
    </xf>
    <xf numFmtId="4" fontId="9" fillId="0" borderId="0" xfId="0" applyNumberFormat="1" applyFont="1" applyAlignment="1">
      <alignment vertical="center"/>
    </xf>
    <xf numFmtId="4" fontId="1" fillId="2" borderId="29" xfId="0" applyNumberFormat="1" applyFont="1" applyFill="1" applyBorder="1" applyAlignment="1" applyProtection="1">
      <alignment horizontal="left" indent="3"/>
      <protection locked="0"/>
    </xf>
    <xf numFmtId="0" fontId="9" fillId="0" borderId="31" xfId="0" applyFont="1" applyBorder="1" applyAlignment="1" applyProtection="1">
      <alignment horizontal="center"/>
      <protection locked="0"/>
    </xf>
    <xf numFmtId="1" fontId="0" fillId="0" borderId="31" xfId="0" applyNumberFormat="1" applyBorder="1" applyAlignment="1" applyProtection="1">
      <alignment horizontal="center"/>
      <protection locked="0"/>
    </xf>
    <xf numFmtId="0" fontId="0" fillId="0" borderId="31" xfId="0" applyBorder="1" applyProtection="1">
      <protection locked="0"/>
    </xf>
    <xf numFmtId="0" fontId="0" fillId="0" borderId="31" xfId="0" applyBorder="1" applyAlignment="1" applyProtection="1">
      <alignment horizontal="left"/>
      <protection locked="0"/>
    </xf>
    <xf numFmtId="4" fontId="0" fillId="0" borderId="31" xfId="0" applyNumberFormat="1" applyBorder="1" applyAlignment="1" applyProtection="1">
      <alignment horizontal="right"/>
      <protection locked="0"/>
    </xf>
    <xf numFmtId="0" fontId="9" fillId="0" borderId="31" xfId="0" applyFont="1" applyBorder="1" applyProtection="1">
      <protection locked="0"/>
    </xf>
    <xf numFmtId="0" fontId="9" fillId="0" borderId="31" xfId="0" applyFont="1" applyBorder="1" applyAlignment="1" applyProtection="1">
      <alignment horizontal="left"/>
      <protection locked="0"/>
    </xf>
    <xf numFmtId="4" fontId="0" fillId="0" borderId="31" xfId="0" applyNumberFormat="1" applyBorder="1" applyProtection="1">
      <protection locked="0"/>
    </xf>
    <xf numFmtId="4" fontId="0" fillId="0" borderId="31" xfId="0" applyNumberFormat="1" applyBorder="1" applyAlignment="1" applyProtection="1">
      <alignment horizontal="center"/>
      <protection locked="0"/>
    </xf>
    <xf numFmtId="9" fontId="5" fillId="0" borderId="12" xfId="0" applyNumberFormat="1" applyFont="1" applyBorder="1" applyAlignment="1" applyProtection="1">
      <alignment horizontal="center"/>
      <protection locked="0"/>
    </xf>
    <xf numFmtId="9" fontId="5" fillId="2" borderId="12" xfId="0" applyNumberFormat="1" applyFont="1" applyFill="1" applyBorder="1" applyAlignment="1" applyProtection="1">
      <alignment horizontal="center"/>
      <protection locked="0"/>
    </xf>
    <xf numFmtId="9" fontId="4" fillId="0" borderId="12" xfId="0" applyNumberFormat="1" applyFont="1" applyBorder="1" applyAlignment="1" applyProtection="1">
      <alignment horizontal="center"/>
      <protection locked="0"/>
    </xf>
    <xf numFmtId="9" fontId="4" fillId="2" borderId="12" xfId="0" applyNumberFormat="1" applyFont="1" applyFill="1" applyBorder="1" applyAlignment="1" applyProtection="1">
      <alignment horizontal="center"/>
      <protection locked="0"/>
    </xf>
    <xf numFmtId="3" fontId="1" fillId="0" borderId="41" xfId="0" applyNumberFormat="1" applyFont="1" applyBorder="1" applyProtection="1">
      <protection locked="0"/>
    </xf>
    <xf numFmtId="3" fontId="1" fillId="0" borderId="1" xfId="0" applyNumberFormat="1" applyFont="1" applyBorder="1" applyProtection="1">
      <protection locked="0"/>
    </xf>
    <xf numFmtId="3" fontId="1" fillId="0" borderId="31" xfId="0" applyNumberFormat="1" applyFont="1" applyBorder="1" applyProtection="1">
      <protection locked="0"/>
    </xf>
    <xf numFmtId="3" fontId="1" fillId="0" borderId="10" xfId="0" applyNumberFormat="1" applyFont="1" applyBorder="1" applyProtection="1">
      <protection locked="0"/>
    </xf>
    <xf numFmtId="3" fontId="1" fillId="0" borderId="7" xfId="0" applyNumberFormat="1" applyFont="1" applyBorder="1" applyAlignment="1" applyProtection="1">
      <alignment wrapText="1"/>
      <protection locked="0"/>
    </xf>
    <xf numFmtId="3" fontId="1" fillId="0" borderId="8" xfId="0" applyNumberFormat="1" applyFont="1" applyBorder="1" applyAlignment="1" applyProtection="1">
      <alignment wrapText="1"/>
      <protection locked="0"/>
    </xf>
    <xf numFmtId="3" fontId="1" fillId="0" borderId="7" xfId="0" applyNumberFormat="1" applyFont="1" applyBorder="1" applyProtection="1">
      <protection locked="0"/>
    </xf>
    <xf numFmtId="3" fontId="1" fillId="0" borderId="8" xfId="0" applyNumberFormat="1" applyFont="1" applyBorder="1" applyProtection="1">
      <protection locked="0"/>
    </xf>
    <xf numFmtId="3" fontId="13" fillId="5" borderId="29" xfId="0" applyNumberFormat="1" applyFont="1" applyFill="1" applyBorder="1" applyAlignment="1" applyProtection="1">
      <alignment horizontal="center" vertical="center"/>
      <protection locked="0"/>
    </xf>
    <xf numFmtId="3" fontId="9" fillId="5" borderId="29" xfId="0" applyNumberFormat="1" applyFont="1" applyFill="1" applyBorder="1" applyAlignment="1" applyProtection="1">
      <alignment horizontal="center" vertical="center"/>
      <protection locked="0"/>
    </xf>
    <xf numFmtId="3" fontId="13" fillId="3" borderId="29" xfId="0" applyNumberFormat="1" applyFont="1" applyFill="1" applyBorder="1" applyAlignment="1" applyProtection="1">
      <alignment horizontal="center" vertical="center"/>
      <protection locked="0"/>
    </xf>
    <xf numFmtId="3" fontId="9" fillId="3" borderId="29" xfId="0" applyNumberFormat="1" applyFont="1" applyFill="1" applyBorder="1" applyAlignment="1" applyProtection="1">
      <alignment horizontal="center" vertical="center"/>
      <protection locked="0"/>
    </xf>
    <xf numFmtId="3" fontId="1" fillId="3" borderId="31" xfId="0" applyNumberFormat="1" applyFont="1" applyFill="1" applyBorder="1" applyAlignment="1" applyProtection="1">
      <alignment horizontal="center" vertical="center"/>
      <protection locked="0"/>
    </xf>
    <xf numFmtId="3" fontId="1" fillId="3" borderId="37" xfId="0" applyNumberFormat="1" applyFont="1" applyFill="1" applyBorder="1" applyAlignment="1" applyProtection="1">
      <alignment horizontal="center" vertical="center"/>
      <protection locked="0"/>
    </xf>
    <xf numFmtId="3" fontId="1" fillId="3" borderId="41" xfId="0" applyNumberFormat="1" applyFont="1" applyFill="1" applyBorder="1" applyAlignment="1" applyProtection="1">
      <alignment horizontal="center" vertical="center"/>
      <protection locked="0"/>
    </xf>
    <xf numFmtId="3" fontId="1" fillId="3" borderId="40" xfId="0" applyNumberFormat="1" applyFont="1" applyFill="1" applyBorder="1" applyAlignment="1" applyProtection="1">
      <alignment horizontal="center" vertical="center"/>
      <protection locked="0"/>
    </xf>
    <xf numFmtId="3" fontId="1" fillId="3" borderId="42" xfId="0" applyNumberFormat="1" applyFont="1" applyFill="1" applyBorder="1" applyAlignment="1" applyProtection="1">
      <alignment horizontal="center" vertical="center"/>
      <protection locked="0"/>
    </xf>
    <xf numFmtId="3" fontId="1" fillId="3" borderId="38" xfId="0" applyNumberFormat="1" applyFont="1" applyFill="1" applyBorder="1" applyAlignment="1" applyProtection="1">
      <alignment horizontal="center" vertical="center"/>
      <protection locked="0"/>
    </xf>
    <xf numFmtId="3" fontId="1" fillId="3" borderId="43" xfId="0" applyNumberFormat="1" applyFont="1" applyFill="1" applyBorder="1" applyAlignment="1" applyProtection="1">
      <alignment horizontal="center" vertical="center"/>
      <protection locked="0"/>
    </xf>
    <xf numFmtId="4" fontId="3" fillId="2" borderId="29" xfId="0" applyNumberFormat="1" applyFont="1" applyFill="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locked="0"/>
    </xf>
    <xf numFmtId="4" fontId="3" fillId="0" borderId="29" xfId="0" applyNumberFormat="1" applyFont="1" applyBorder="1" applyAlignment="1" applyProtection="1">
      <alignment horizontal="right" vertical="center"/>
      <protection locked="0"/>
    </xf>
    <xf numFmtId="4" fontId="1" fillId="0" borderId="1" xfId="0" applyNumberFormat="1" applyFont="1" applyBorder="1" applyAlignment="1" applyProtection="1">
      <alignment horizontal="right" vertical="center"/>
      <protection locked="0"/>
    </xf>
    <xf numFmtId="3" fontId="1" fillId="2" borderId="29" xfId="0" applyNumberFormat="1" applyFont="1" applyFill="1" applyBorder="1" applyAlignment="1" applyProtection="1">
      <alignment horizontal="right" vertical="center"/>
      <protection locked="0"/>
    </xf>
    <xf numFmtId="3" fontId="1" fillId="0" borderId="1" xfId="0" applyNumberFormat="1" applyFont="1" applyBorder="1" applyAlignment="1" applyProtection="1">
      <alignment horizontal="right" vertical="center"/>
      <protection locked="0"/>
    </xf>
    <xf numFmtId="3" fontId="1" fillId="0" borderId="29" xfId="0" applyNumberFormat="1" applyFont="1" applyBorder="1" applyAlignment="1" applyProtection="1">
      <alignment horizontal="right" vertical="center"/>
      <protection locked="0"/>
    </xf>
    <xf numFmtId="4" fontId="17" fillId="2" borderId="29" xfId="0" applyNumberFormat="1" applyFont="1" applyFill="1" applyBorder="1" applyAlignment="1" applyProtection="1">
      <alignment horizontal="left" indent="3"/>
      <protection locked="0"/>
    </xf>
    <xf numFmtId="4" fontId="17" fillId="0" borderId="29" xfId="0" applyNumberFormat="1" applyFont="1" applyBorder="1" applyAlignment="1" applyProtection="1">
      <alignment horizontal="left" indent="3"/>
      <protection locked="0"/>
    </xf>
    <xf numFmtId="3" fontId="1" fillId="3" borderId="29" xfId="0" applyNumberFormat="1" applyFont="1" applyFill="1" applyBorder="1" applyAlignment="1" applyProtection="1">
      <alignment horizontal="right" vertical="center"/>
      <protection locked="0"/>
    </xf>
    <xf numFmtId="3" fontId="1" fillId="0" borderId="1" xfId="0" quotePrefix="1" applyNumberFormat="1" applyFont="1" applyBorder="1" applyAlignment="1" applyProtection="1">
      <alignment horizontal="right" vertical="center"/>
      <protection locked="0"/>
    </xf>
    <xf numFmtId="3" fontId="1" fillId="5" borderId="14" xfId="0" applyNumberFormat="1" applyFont="1" applyFill="1" applyBorder="1" applyAlignment="1" applyProtection="1">
      <alignment horizontal="right" vertical="center"/>
      <protection locked="0"/>
    </xf>
    <xf numFmtId="4" fontId="1" fillId="2" borderId="1" xfId="1" applyNumberFormat="1" applyFont="1" applyFill="1" applyBorder="1" applyAlignment="1" applyProtection="1">
      <alignment horizontal="right"/>
      <protection locked="0"/>
    </xf>
    <xf numFmtId="4" fontId="1" fillId="2" borderId="31" xfId="1" applyNumberFormat="1" applyFont="1" applyFill="1" applyBorder="1" applyAlignment="1" applyProtection="1">
      <alignment horizontal="right"/>
      <protection locked="0"/>
    </xf>
    <xf numFmtId="4" fontId="1" fillId="2" borderId="29" xfId="1" applyNumberFormat="1" applyFont="1" applyFill="1" applyBorder="1" applyAlignment="1" applyProtection="1">
      <alignment horizontal="right"/>
      <protection locked="0"/>
    </xf>
    <xf numFmtId="4" fontId="1" fillId="2" borderId="41" xfId="1" applyNumberFormat="1" applyFont="1" applyFill="1" applyBorder="1" applyAlignment="1" applyProtection="1">
      <alignment horizontal="right"/>
      <protection locked="0"/>
    </xf>
    <xf numFmtId="4" fontId="1" fillId="2" borderId="0" xfId="0" applyNumberFormat="1" applyFont="1" applyFill="1" applyProtection="1">
      <protection locked="0"/>
    </xf>
    <xf numFmtId="4" fontId="1" fillId="0" borderId="1" xfId="1" applyNumberFormat="1" applyFont="1" applyFill="1" applyBorder="1" applyAlignment="1" applyProtection="1">
      <alignment horizontal="right"/>
      <protection locked="0"/>
    </xf>
    <xf numFmtId="4" fontId="1" fillId="0" borderId="31" xfId="1" applyNumberFormat="1" applyFont="1" applyFill="1" applyBorder="1" applyAlignment="1" applyProtection="1">
      <alignment horizontal="right"/>
      <protection locked="0"/>
    </xf>
    <xf numFmtId="4" fontId="24" fillId="5" borderId="1" xfId="1" applyNumberFormat="1" applyFont="1" applyFill="1" applyBorder="1" applyProtection="1">
      <protection locked="0"/>
    </xf>
    <xf numFmtId="4" fontId="1" fillId="5" borderId="1" xfId="1" applyNumberFormat="1" applyFont="1" applyFill="1" applyBorder="1" applyProtection="1">
      <protection locked="0"/>
    </xf>
    <xf numFmtId="4" fontId="1" fillId="5" borderId="31" xfId="1" applyNumberFormat="1" applyFont="1" applyFill="1" applyBorder="1" applyProtection="1">
      <protection locked="0"/>
    </xf>
    <xf numFmtId="4" fontId="1" fillId="0" borderId="31" xfId="0" applyNumberFormat="1" applyFont="1" applyBorder="1" applyProtection="1">
      <protection locked="0"/>
    </xf>
    <xf numFmtId="4" fontId="3" fillId="2" borderId="29" xfId="0" applyNumberFormat="1" applyFont="1" applyFill="1" applyBorder="1" applyAlignment="1" applyProtection="1">
      <alignment horizontal="left" indent="3"/>
      <protection locked="0"/>
    </xf>
    <xf numFmtId="4" fontId="25" fillId="2" borderId="1" xfId="0" applyNumberFormat="1" applyFont="1" applyFill="1" applyBorder="1" applyAlignment="1" applyProtection="1">
      <alignment horizontal="left" indent="3"/>
      <protection locked="0"/>
    </xf>
    <xf numFmtId="4" fontId="3" fillId="5" borderId="31" xfId="1" applyNumberFormat="1" applyFont="1" applyFill="1" applyBorder="1" applyAlignment="1" applyProtection="1">
      <alignment horizontal="right"/>
      <protection locked="0"/>
    </xf>
    <xf numFmtId="4" fontId="3" fillId="0" borderId="29" xfId="0" applyNumberFormat="1" applyFont="1" applyBorder="1" applyAlignment="1" applyProtection="1">
      <alignment horizontal="left" indent="3"/>
      <protection locked="0"/>
    </xf>
    <xf numFmtId="3" fontId="28" fillId="9" borderId="62" xfId="4" applyNumberFormat="1" applyFont="1" applyFill="1" applyBorder="1" applyAlignment="1" applyProtection="1">
      <alignment horizontal="center" vertical="top"/>
      <protection locked="0"/>
    </xf>
    <xf numFmtId="3" fontId="1" fillId="5" borderId="1" xfId="0" applyNumberFormat="1" applyFont="1" applyFill="1" applyBorder="1"/>
    <xf numFmtId="3" fontId="3" fillId="5" borderId="1" xfId="0" applyNumberFormat="1" applyFont="1" applyFill="1" applyBorder="1"/>
    <xf numFmtId="3" fontId="3" fillId="5" borderId="31" xfId="0" applyNumberFormat="1" applyFont="1" applyFill="1" applyBorder="1"/>
    <xf numFmtId="3" fontId="3" fillId="5" borderId="46" xfId="0" applyNumberFormat="1" applyFont="1" applyFill="1" applyBorder="1"/>
    <xf numFmtId="3" fontId="1" fillId="3" borderId="1" xfId="0" applyNumberFormat="1" applyFont="1" applyFill="1" applyBorder="1" applyProtection="1">
      <protection locked="0"/>
    </xf>
    <xf numFmtId="0" fontId="1" fillId="3" borderId="1" xfId="0" applyFont="1" applyFill="1" applyBorder="1" applyAlignment="1">
      <alignment wrapText="1"/>
    </xf>
    <xf numFmtId="4" fontId="3" fillId="3" borderId="29" xfId="0" applyNumberFormat="1" applyFont="1" applyFill="1" applyBorder="1" applyAlignment="1">
      <alignment horizontal="left"/>
    </xf>
    <xf numFmtId="4" fontId="9" fillId="2" borderId="1" xfId="1" applyNumberFormat="1" applyFont="1" applyFill="1" applyBorder="1" applyAlignment="1" applyProtection="1">
      <alignment horizontal="right"/>
      <protection locked="0"/>
    </xf>
    <xf numFmtId="4" fontId="9" fillId="2" borderId="31" xfId="1" applyNumberFormat="1" applyFont="1" applyFill="1" applyBorder="1" applyAlignment="1" applyProtection="1">
      <alignment horizontal="right"/>
      <protection locked="0"/>
    </xf>
    <xf numFmtId="4" fontId="9" fillId="2" borderId="29" xfId="1" applyNumberFormat="1" applyFont="1" applyFill="1" applyBorder="1" applyAlignment="1" applyProtection="1">
      <alignment horizontal="right"/>
      <protection locked="0"/>
    </xf>
    <xf numFmtId="4" fontId="9" fillId="0" borderId="1" xfId="1" applyNumberFormat="1" applyFont="1" applyFill="1" applyBorder="1" applyAlignment="1" applyProtection="1">
      <alignment horizontal="right"/>
      <protection locked="0"/>
    </xf>
    <xf numFmtId="4" fontId="1" fillId="3" borderId="1" xfId="1" applyNumberFormat="1" applyFont="1" applyFill="1" applyBorder="1" applyAlignment="1" applyProtection="1">
      <alignment horizontal="right"/>
      <protection locked="0"/>
    </xf>
    <xf numFmtId="4" fontId="9" fillId="5" borderId="29" xfId="0" applyNumberFormat="1" applyFont="1" applyFill="1" applyBorder="1" applyAlignment="1" applyProtection="1">
      <alignment horizontal="center" vertical="center"/>
      <protection locked="0"/>
    </xf>
    <xf numFmtId="3" fontId="1" fillId="3" borderId="29" xfId="1" applyNumberFormat="1" applyFont="1" applyFill="1" applyBorder="1" applyAlignment="1" applyProtection="1">
      <alignment horizontal="right" vertical="center"/>
      <protection locked="0"/>
    </xf>
    <xf numFmtId="1" fontId="3" fillId="3" borderId="0" xfId="0" applyNumberFormat="1" applyFont="1" applyFill="1"/>
    <xf numFmtId="3" fontId="1" fillId="0" borderId="29" xfId="1" applyNumberFormat="1" applyFont="1" applyBorder="1" applyAlignment="1" applyProtection="1">
      <alignment horizontal="center" vertical="center"/>
      <protection locked="0"/>
    </xf>
    <xf numFmtId="3" fontId="1" fillId="0" borderId="31" xfId="1" applyNumberFormat="1" applyFont="1" applyBorder="1" applyAlignment="1" applyProtection="1">
      <alignment horizontal="center" vertical="center"/>
      <protection locked="0"/>
    </xf>
    <xf numFmtId="3" fontId="13" fillId="3" borderId="43" xfId="0" applyNumberFormat="1" applyFont="1" applyFill="1" applyBorder="1" applyAlignment="1" applyProtection="1">
      <alignment horizontal="center" vertical="center"/>
      <protection locked="0"/>
    </xf>
    <xf numFmtId="3" fontId="9" fillId="3" borderId="43" xfId="0" applyNumberFormat="1" applyFont="1" applyFill="1" applyBorder="1" applyAlignment="1" applyProtection="1">
      <alignment horizontal="center" vertical="center"/>
      <protection locked="0"/>
    </xf>
    <xf numFmtId="3" fontId="9" fillId="3" borderId="31" xfId="0" applyNumberFormat="1" applyFont="1" applyFill="1" applyBorder="1" applyAlignment="1" applyProtection="1">
      <alignment horizontal="center" vertical="center"/>
      <protection locked="0"/>
    </xf>
    <xf numFmtId="3" fontId="5" fillId="3" borderId="31" xfId="1" applyNumberFormat="1" applyFont="1" applyFill="1" applyBorder="1" applyAlignment="1" applyProtection="1">
      <alignment horizontal="center" vertical="center"/>
      <protection locked="0"/>
    </xf>
    <xf numFmtId="3" fontId="5" fillId="3" borderId="31" xfId="1" applyNumberFormat="1" applyFont="1" applyFill="1" applyBorder="1" applyAlignment="1" applyProtection="1">
      <alignment horizontal="right" vertical="center"/>
      <protection locked="0"/>
    </xf>
    <xf numFmtId="3" fontId="1" fillId="3" borderId="29" xfId="1" applyNumberFormat="1" applyFont="1" applyFill="1" applyBorder="1" applyAlignment="1" applyProtection="1">
      <alignment horizontal="center" vertical="center"/>
      <protection locked="0"/>
    </xf>
    <xf numFmtId="3" fontId="1" fillId="3" borderId="31" xfId="1" applyNumberFormat="1" applyFont="1" applyFill="1" applyBorder="1" applyAlignment="1" applyProtection="1">
      <alignment horizontal="center" vertical="center"/>
      <protection locked="0"/>
    </xf>
    <xf numFmtId="3" fontId="9" fillId="3" borderId="41" xfId="0" applyNumberFormat="1" applyFont="1" applyFill="1" applyBorder="1" applyAlignment="1" applyProtection="1">
      <alignment horizontal="center" vertical="center"/>
      <protection locked="0"/>
    </xf>
    <xf numFmtId="3" fontId="13" fillId="3" borderId="29" xfId="1" applyNumberFormat="1" applyFont="1" applyFill="1" applyBorder="1" applyAlignment="1" applyProtection="1">
      <alignment horizontal="center" vertical="center"/>
      <protection locked="0"/>
    </xf>
    <xf numFmtId="3" fontId="13" fillId="3" borderId="31" xfId="1" applyNumberFormat="1" applyFont="1" applyFill="1" applyBorder="1" applyAlignment="1" applyProtection="1">
      <alignment horizontal="center" vertical="center"/>
      <protection locked="0"/>
    </xf>
    <xf numFmtId="3" fontId="5" fillId="3" borderId="38" xfId="1" applyNumberFormat="1" applyFont="1" applyFill="1" applyBorder="1" applyAlignment="1" applyProtection="1">
      <alignment horizontal="center" vertical="center"/>
      <protection locked="0"/>
    </xf>
    <xf numFmtId="3" fontId="5" fillId="3" borderId="46" xfId="1" applyNumberFormat="1" applyFont="1" applyFill="1" applyBorder="1" applyAlignment="1" applyProtection="1">
      <alignment horizontal="center" vertical="center"/>
      <protection locked="0"/>
    </xf>
    <xf numFmtId="3" fontId="1" fillId="3" borderId="29" xfId="0" applyNumberFormat="1" applyFont="1" applyFill="1" applyBorder="1" applyAlignment="1" applyProtection="1">
      <alignment horizontal="center" vertical="center"/>
      <protection locked="0"/>
    </xf>
    <xf numFmtId="3" fontId="4" fillId="3" borderId="29" xfId="1" applyNumberFormat="1" applyFont="1" applyFill="1" applyBorder="1" applyAlignment="1" applyProtection="1">
      <alignment horizontal="center" vertical="center"/>
      <protection locked="0"/>
    </xf>
    <xf numFmtId="3" fontId="4" fillId="3" borderId="31" xfId="1" applyNumberFormat="1" applyFont="1" applyFill="1" applyBorder="1" applyAlignment="1" applyProtection="1">
      <alignment horizontal="center" vertical="center"/>
      <protection locked="0"/>
    </xf>
    <xf numFmtId="3" fontId="5" fillId="3" borderId="29" xfId="1" applyNumberFormat="1" applyFont="1" applyFill="1" applyBorder="1" applyAlignment="1" applyProtection="1">
      <alignment horizontal="center" vertical="center"/>
      <protection locked="0"/>
    </xf>
    <xf numFmtId="3" fontId="9" fillId="3" borderId="29" xfId="1" applyNumberFormat="1" applyFont="1" applyFill="1" applyBorder="1" applyAlignment="1" applyProtection="1">
      <alignment horizontal="center" vertical="center"/>
      <protection locked="0"/>
    </xf>
    <xf numFmtId="3" fontId="9" fillId="3" borderId="31" xfId="1" applyNumberFormat="1" applyFont="1" applyFill="1" applyBorder="1" applyAlignment="1" applyProtection="1">
      <alignment horizontal="center" vertical="center"/>
      <protection locked="0"/>
    </xf>
    <xf numFmtId="0" fontId="0" fillId="9" borderId="0" xfId="0" applyFill="1" applyAlignment="1">
      <alignment horizontal="right"/>
    </xf>
    <xf numFmtId="4" fontId="0" fillId="9" borderId="31" xfId="0" applyNumberFormat="1" applyFill="1" applyBorder="1" applyAlignment="1" applyProtection="1">
      <alignment horizontal="right"/>
      <protection locked="0"/>
    </xf>
    <xf numFmtId="4" fontId="0" fillId="9" borderId="31" xfId="0" applyNumberFormat="1" applyFill="1" applyBorder="1" applyProtection="1">
      <protection locked="0"/>
    </xf>
    <xf numFmtId="4" fontId="1" fillId="2" borderId="29" xfId="0" applyNumberFormat="1" applyFont="1" applyFill="1" applyBorder="1" applyAlignment="1" applyProtection="1">
      <alignment horizontal="right" vertical="center"/>
      <protection locked="0"/>
    </xf>
    <xf numFmtId="4" fontId="1" fillId="0" borderId="29" xfId="1" applyNumberFormat="1" applyFont="1" applyFill="1" applyBorder="1" applyAlignment="1" applyProtection="1">
      <alignment horizontal="right" vertical="center"/>
      <protection locked="0"/>
    </xf>
    <xf numFmtId="1" fontId="1" fillId="3" borderId="29" xfId="0" applyNumberFormat="1" applyFont="1" applyFill="1" applyBorder="1"/>
    <xf numFmtId="2" fontId="28" fillId="9" borderId="31" xfId="0" applyNumberFormat="1" applyFont="1" applyFill="1" applyBorder="1" applyAlignment="1" applyProtection="1">
      <alignment horizontal="center"/>
      <protection locked="0"/>
    </xf>
    <xf numFmtId="3" fontId="5" fillId="5" borderId="29" xfId="1" applyNumberFormat="1" applyFont="1" applyFill="1" applyBorder="1" applyAlignment="1" applyProtection="1">
      <alignment horizontal="center" vertical="center"/>
      <protection locked="0"/>
    </xf>
    <xf numFmtId="3" fontId="1" fillId="5" borderId="29" xfId="0" applyNumberFormat="1" applyFont="1" applyFill="1" applyBorder="1" applyAlignment="1" applyProtection="1">
      <alignment horizontal="center" vertical="center"/>
      <protection locked="0"/>
    </xf>
    <xf numFmtId="3" fontId="12" fillId="5" borderId="29" xfId="1" applyNumberFormat="1" applyFont="1" applyFill="1" applyBorder="1" applyAlignment="1" applyProtection="1">
      <alignment horizontal="center" vertical="center"/>
      <protection locked="0"/>
    </xf>
    <xf numFmtId="3" fontId="4" fillId="5" borderId="29" xfId="1" applyNumberFormat="1" applyFont="1" applyFill="1" applyBorder="1" applyAlignment="1" applyProtection="1">
      <alignment horizontal="center" vertical="center"/>
      <protection locked="0"/>
    </xf>
    <xf numFmtId="3" fontId="10" fillId="0" borderId="0" xfId="0" applyNumberFormat="1" applyFont="1" applyAlignment="1" applyProtection="1">
      <alignment horizontal="center" vertical="center"/>
      <protection locked="0"/>
    </xf>
    <xf numFmtId="3" fontId="4" fillId="0" borderId="0" xfId="1" applyNumberFormat="1" applyFont="1" applyBorder="1" applyAlignment="1" applyProtection="1">
      <alignment horizontal="center" vertical="center"/>
      <protection locked="0"/>
    </xf>
    <xf numFmtId="3" fontId="13" fillId="5" borderId="31" xfId="0" applyNumberFormat="1" applyFont="1" applyFill="1" applyBorder="1" applyAlignment="1" applyProtection="1">
      <alignment horizontal="center" vertical="center"/>
      <protection locked="0"/>
    </xf>
    <xf numFmtId="3" fontId="26" fillId="0" borderId="29" xfId="0" applyNumberFormat="1" applyFont="1" applyBorder="1" applyAlignment="1" applyProtection="1">
      <alignment horizontal="center" vertical="center"/>
      <protection locked="0"/>
    </xf>
    <xf numFmtId="3" fontId="5" fillId="0" borderId="29" xfId="1" applyNumberFormat="1" applyFont="1" applyBorder="1" applyAlignment="1" applyProtection="1">
      <alignment horizontal="center" vertical="center"/>
      <protection locked="0"/>
    </xf>
    <xf numFmtId="3" fontId="13" fillId="5" borderId="30" xfId="1" applyNumberFormat="1" applyFont="1" applyFill="1" applyBorder="1" applyAlignment="1" applyProtection="1">
      <alignment horizontal="center" vertical="center"/>
      <protection locked="0"/>
    </xf>
    <xf numFmtId="3" fontId="1" fillId="0" borderId="0" xfId="0" applyNumberFormat="1" applyFont="1" applyAlignment="1" applyProtection="1">
      <alignment horizontal="center" vertical="center"/>
      <protection locked="0"/>
    </xf>
    <xf numFmtId="3" fontId="1" fillId="0" borderId="0" xfId="1" applyNumberFormat="1" applyFont="1" applyAlignment="1" applyProtection="1">
      <alignment horizontal="center" vertical="center"/>
      <protection locked="0"/>
    </xf>
    <xf numFmtId="3" fontId="3" fillId="0" borderId="0" xfId="0" applyNumberFormat="1" applyFont="1" applyAlignment="1" applyProtection="1">
      <alignment horizontal="left" indent="1"/>
      <protection locked="0"/>
    </xf>
    <xf numFmtId="3" fontId="3" fillId="0" borderId="0" xfId="0" applyNumberFormat="1" applyFont="1" applyAlignment="1" applyProtection="1">
      <alignment horizontal="right"/>
      <protection locked="0"/>
    </xf>
    <xf numFmtId="3" fontId="3" fillId="0" borderId="0" xfId="1" applyNumberFormat="1" applyFont="1" applyProtection="1">
      <protection locked="0"/>
    </xf>
    <xf numFmtId="3" fontId="1" fillId="0" borderId="0" xfId="0" applyNumberFormat="1" applyFont="1" applyAlignment="1" applyProtection="1">
      <alignment horizontal="left" indent="1"/>
      <protection locked="0"/>
    </xf>
    <xf numFmtId="3" fontId="1" fillId="0" borderId="0" xfId="0" applyNumberFormat="1" applyFont="1" applyAlignment="1" applyProtection="1">
      <alignment horizontal="right"/>
      <protection locked="0"/>
    </xf>
    <xf numFmtId="3" fontId="1" fillId="0" borderId="0" xfId="1" applyNumberFormat="1" applyFont="1" applyProtection="1">
      <protection locked="0"/>
    </xf>
    <xf numFmtId="3" fontId="6" fillId="0" borderId="0" xfId="0" applyNumberFormat="1" applyFont="1" applyAlignment="1" applyProtection="1">
      <alignment horizontal="left" indent="1"/>
      <protection locked="0"/>
    </xf>
    <xf numFmtId="3" fontId="6" fillId="0" borderId="0" xfId="0" applyNumberFormat="1" applyFont="1" applyAlignment="1" applyProtection="1">
      <alignment horizontal="right"/>
      <protection locked="0"/>
    </xf>
    <xf numFmtId="3" fontId="10" fillId="3" borderId="37" xfId="0" applyNumberFormat="1" applyFont="1" applyFill="1" applyBorder="1" applyAlignment="1" applyProtection="1">
      <alignment horizontal="center" vertical="center"/>
      <protection locked="0"/>
    </xf>
    <xf numFmtId="3" fontId="26" fillId="3" borderId="41" xfId="1" applyNumberFormat="1" applyFont="1" applyFill="1" applyBorder="1" applyAlignment="1" applyProtection="1">
      <alignment horizontal="center" vertical="center"/>
      <protection locked="0"/>
    </xf>
    <xf numFmtId="3" fontId="26" fillId="0" borderId="37" xfId="1" applyNumberFormat="1" applyFont="1" applyFill="1" applyBorder="1" applyAlignment="1" applyProtection="1">
      <alignment horizontal="center" vertical="center"/>
      <protection locked="0"/>
    </xf>
    <xf numFmtId="3" fontId="10" fillId="3" borderId="40" xfId="0" applyNumberFormat="1" applyFont="1" applyFill="1" applyBorder="1" applyAlignment="1" applyProtection="1">
      <alignment horizontal="center" vertical="center"/>
      <protection locked="0"/>
    </xf>
    <xf numFmtId="3" fontId="3" fillId="3" borderId="40" xfId="0" applyNumberFormat="1" applyFont="1" applyFill="1" applyBorder="1" applyAlignment="1" applyProtection="1">
      <alignment horizontal="center" vertical="center"/>
      <protection locked="0"/>
    </xf>
    <xf numFmtId="3" fontId="13" fillId="5" borderId="43" xfId="0" applyNumberFormat="1" applyFont="1" applyFill="1" applyBorder="1" applyAlignment="1" applyProtection="1">
      <alignment horizontal="center" vertical="center"/>
      <protection locked="0"/>
    </xf>
    <xf numFmtId="3" fontId="5" fillId="0" borderId="41" xfId="1" applyNumberFormat="1" applyFont="1" applyBorder="1" applyAlignment="1" applyProtection="1">
      <alignment horizontal="center" vertical="center"/>
      <protection locked="0"/>
    </xf>
    <xf numFmtId="3" fontId="5" fillId="0" borderId="38" xfId="1" applyNumberFormat="1" applyFont="1" applyBorder="1" applyAlignment="1" applyProtection="1">
      <alignment horizontal="center" vertical="center"/>
      <protection locked="0"/>
    </xf>
    <xf numFmtId="3" fontId="1" fillId="5" borderId="43" xfId="0" applyNumberFormat="1" applyFont="1" applyFill="1" applyBorder="1" applyAlignment="1" applyProtection="1">
      <alignment horizontal="center" vertical="center"/>
      <protection locked="0"/>
    </xf>
    <xf numFmtId="3" fontId="13" fillId="5" borderId="43" xfId="1" applyNumberFormat="1" applyFont="1" applyFill="1" applyBorder="1" applyAlignment="1" applyProtection="1">
      <alignment horizontal="center" vertical="center"/>
      <protection locked="0"/>
    </xf>
    <xf numFmtId="3" fontId="13" fillId="5" borderId="29" xfId="1" applyNumberFormat="1" applyFont="1" applyFill="1" applyBorder="1" applyAlignment="1" applyProtection="1">
      <alignment horizontal="center" vertical="center"/>
      <protection locked="0"/>
    </xf>
    <xf numFmtId="3" fontId="1" fillId="5" borderId="29" xfId="1" applyNumberFormat="1" applyFont="1" applyFill="1" applyBorder="1" applyAlignment="1" applyProtection="1">
      <alignment horizontal="center" vertical="center"/>
      <protection locked="0"/>
    </xf>
    <xf numFmtId="3" fontId="12" fillId="5" borderId="43" xfId="1" applyNumberFormat="1" applyFont="1" applyFill="1" applyBorder="1" applyAlignment="1" applyProtection="1">
      <alignment horizontal="center" vertical="center"/>
      <protection locked="0"/>
    </xf>
    <xf numFmtId="3" fontId="4" fillId="5" borderId="43" xfId="1" applyNumberFormat="1" applyFont="1" applyFill="1" applyBorder="1" applyAlignment="1" applyProtection="1">
      <alignment horizontal="center" vertical="center"/>
      <protection locked="0"/>
    </xf>
    <xf numFmtId="4" fontId="4" fillId="2" borderId="0" xfId="0" applyNumberFormat="1" applyFont="1" applyFill="1" applyProtection="1">
      <protection locked="0"/>
    </xf>
    <xf numFmtId="3" fontId="4" fillId="0" borderId="0" xfId="0" applyNumberFormat="1" applyFont="1" applyProtection="1">
      <protection locked="0"/>
    </xf>
    <xf numFmtId="4" fontId="1" fillId="2" borderId="0" xfId="1" applyNumberFormat="1" applyFont="1" applyFill="1" applyAlignment="1" applyProtection="1">
      <alignment horizontal="right"/>
      <protection locked="0"/>
    </xf>
    <xf numFmtId="4" fontId="3" fillId="2" borderId="1" xfId="1" applyNumberFormat="1" applyFont="1" applyFill="1" applyBorder="1" applyAlignment="1" applyProtection="1">
      <alignment horizontal="right" vertical="center"/>
      <protection locked="0"/>
    </xf>
    <xf numFmtId="4" fontId="1" fillId="2" borderId="1" xfId="1" applyNumberFormat="1" applyFont="1" applyFill="1" applyBorder="1" applyAlignment="1" applyProtection="1">
      <alignment horizontal="right" vertical="center"/>
      <protection locked="0"/>
    </xf>
    <xf numFmtId="4" fontId="1" fillId="0" borderId="1" xfId="1" applyNumberFormat="1" applyFont="1" applyBorder="1" applyAlignment="1" applyProtection="1">
      <alignment horizontal="right" vertical="center"/>
      <protection locked="0"/>
    </xf>
    <xf numFmtId="1" fontId="3" fillId="2" borderId="0" xfId="0" applyNumberFormat="1" applyFont="1" applyFill="1" applyAlignment="1" applyProtection="1">
      <alignment horizontal="left" indent="3"/>
      <protection locked="0"/>
    </xf>
    <xf numFmtId="1" fontId="3" fillId="0" borderId="0" xfId="0" applyNumberFormat="1" applyFont="1" applyProtection="1">
      <protection locked="0"/>
    </xf>
    <xf numFmtId="1" fontId="3" fillId="2" borderId="0" xfId="1" applyNumberFormat="1" applyFont="1" applyFill="1" applyAlignment="1" applyProtection="1">
      <alignment horizontal="right"/>
      <protection locked="0"/>
    </xf>
    <xf numFmtId="10" fontId="1" fillId="0" borderId="31" xfId="3" applyNumberFormat="1" applyFont="1" applyFill="1" applyBorder="1" applyProtection="1">
      <protection locked="0"/>
    </xf>
    <xf numFmtId="1" fontId="1" fillId="2" borderId="0" xfId="0" applyNumberFormat="1" applyFont="1" applyFill="1" applyAlignment="1" applyProtection="1">
      <alignment horizontal="left" indent="3"/>
      <protection locked="0"/>
    </xf>
    <xf numFmtId="1" fontId="1" fillId="3" borderId="0" xfId="0" applyNumberFormat="1" applyFont="1" applyFill="1" applyProtection="1">
      <protection locked="0"/>
    </xf>
    <xf numFmtId="1" fontId="4" fillId="2" borderId="0" xfId="0" applyNumberFormat="1" applyFont="1" applyFill="1" applyAlignment="1" applyProtection="1">
      <alignment horizontal="left"/>
      <protection locked="0"/>
    </xf>
    <xf numFmtId="1" fontId="4" fillId="0" borderId="0" xfId="0" applyNumberFormat="1" applyFont="1" applyProtection="1">
      <protection locked="0"/>
    </xf>
    <xf numFmtId="1" fontId="1" fillId="2" borderId="0" xfId="1" applyNumberFormat="1" applyFont="1" applyFill="1" applyAlignment="1" applyProtection="1">
      <alignment horizontal="right"/>
      <protection locked="0"/>
    </xf>
    <xf numFmtId="4" fontId="1" fillId="5" borderId="1" xfId="0" applyNumberFormat="1" applyFont="1" applyFill="1" applyBorder="1" applyAlignment="1" applyProtection="1">
      <alignment horizontal="center" vertical="center"/>
      <protection locked="0"/>
    </xf>
    <xf numFmtId="4" fontId="1" fillId="5" borderId="31" xfId="0" applyNumberFormat="1" applyFont="1" applyFill="1" applyBorder="1" applyAlignment="1" applyProtection="1">
      <alignment horizontal="center" vertical="center"/>
      <protection locked="0"/>
    </xf>
    <xf numFmtId="4" fontId="9" fillId="5" borderId="1" xfId="0" applyNumberFormat="1" applyFont="1" applyFill="1" applyBorder="1" applyAlignment="1" applyProtection="1">
      <alignment horizontal="center" vertical="center"/>
      <protection locked="0"/>
    </xf>
    <xf numFmtId="4" fontId="1" fillId="5" borderId="1" xfId="1" applyNumberFormat="1" applyFont="1" applyFill="1" applyBorder="1" applyAlignment="1" applyProtection="1">
      <alignment horizontal="center" vertical="center"/>
      <protection locked="0"/>
    </xf>
    <xf numFmtId="4" fontId="1" fillId="5" borderId="31" xfId="1" applyNumberFormat="1" applyFont="1" applyFill="1" applyBorder="1" applyAlignment="1" applyProtection="1">
      <alignment horizontal="center" vertical="center"/>
      <protection locked="0"/>
    </xf>
    <xf numFmtId="3" fontId="3" fillId="5" borderId="1" xfId="1" applyNumberFormat="1" applyFont="1" applyFill="1" applyBorder="1" applyAlignment="1" applyProtection="1">
      <alignment horizontal="right" vertical="center"/>
      <protection locked="0"/>
    </xf>
    <xf numFmtId="3" fontId="3" fillId="5" borderId="29" xfId="0" applyNumberFormat="1" applyFont="1" applyFill="1" applyBorder="1" applyAlignment="1" applyProtection="1">
      <alignment horizontal="right" vertical="center"/>
      <protection locked="0"/>
    </xf>
    <xf numFmtId="3" fontId="26" fillId="2" borderId="1" xfId="1" applyNumberFormat="1" applyFont="1" applyFill="1" applyBorder="1" applyAlignment="1" applyProtection="1">
      <alignment horizontal="right" vertical="center"/>
      <protection locked="0"/>
    </xf>
    <xf numFmtId="3" fontId="26" fillId="2" borderId="5" xfId="1" applyNumberFormat="1" applyFont="1" applyFill="1" applyBorder="1" applyAlignment="1" applyProtection="1">
      <alignment horizontal="right" vertical="center"/>
      <protection locked="0"/>
    </xf>
    <xf numFmtId="3" fontId="26" fillId="2" borderId="14" xfId="1" applyNumberFormat="1" applyFont="1" applyFill="1" applyBorder="1" applyAlignment="1" applyProtection="1">
      <alignment horizontal="right" vertical="center"/>
      <protection locked="0"/>
    </xf>
    <xf numFmtId="3" fontId="26" fillId="2" borderId="46" xfId="1" applyNumberFormat="1" applyFont="1" applyFill="1" applyBorder="1" applyAlignment="1" applyProtection="1">
      <alignment horizontal="right" vertical="center"/>
      <protection locked="0"/>
    </xf>
    <xf numFmtId="3" fontId="1" fillId="5" borderId="29" xfId="0" applyNumberFormat="1" applyFont="1" applyFill="1" applyBorder="1" applyAlignment="1" applyProtection="1">
      <alignment horizontal="right" vertical="center"/>
      <protection locked="0"/>
    </xf>
    <xf numFmtId="3" fontId="1" fillId="5" borderId="1" xfId="1" applyNumberFormat="1" applyFont="1" applyFill="1" applyBorder="1" applyAlignment="1" applyProtection="1">
      <alignment horizontal="right" vertical="center"/>
      <protection locked="0"/>
    </xf>
    <xf numFmtId="3" fontId="1" fillId="5" borderId="14" xfId="1" applyNumberFormat="1" applyFont="1" applyFill="1" applyBorder="1" applyAlignment="1" applyProtection="1">
      <alignment horizontal="right" vertical="center"/>
      <protection locked="0"/>
    </xf>
    <xf numFmtId="3" fontId="1" fillId="5" borderId="41" xfId="1" applyNumberFormat="1" applyFont="1" applyFill="1" applyBorder="1" applyAlignment="1" applyProtection="1">
      <alignment horizontal="right" vertical="center"/>
      <protection locked="0"/>
    </xf>
    <xf numFmtId="3" fontId="3" fillId="5" borderId="29" xfId="1" applyNumberFormat="1" applyFont="1" applyFill="1" applyBorder="1" applyAlignment="1" applyProtection="1">
      <alignment horizontal="right" vertical="center"/>
      <protection locked="0"/>
    </xf>
    <xf numFmtId="3" fontId="1" fillId="3" borderId="31" xfId="1" applyNumberFormat="1" applyFont="1" applyFill="1" applyBorder="1" applyAlignment="1" applyProtection="1">
      <alignment horizontal="right" vertical="center"/>
      <protection locked="0"/>
    </xf>
    <xf numFmtId="3" fontId="26" fillId="2" borderId="29" xfId="1" applyNumberFormat="1" applyFont="1" applyFill="1" applyBorder="1" applyAlignment="1" applyProtection="1">
      <alignment horizontal="right" vertical="center"/>
      <protection locked="0"/>
    </xf>
    <xf numFmtId="3" fontId="1" fillId="2" borderId="31" xfId="1" applyNumberFormat="1" applyFont="1" applyFill="1" applyBorder="1" applyAlignment="1" applyProtection="1">
      <alignment horizontal="right" vertical="center"/>
      <protection locked="0"/>
    </xf>
    <xf numFmtId="3" fontId="3" fillId="0" borderId="1" xfId="1" applyNumberFormat="1" applyFont="1" applyBorder="1" applyAlignment="1" applyProtection="1">
      <alignment horizontal="right" vertical="center"/>
      <protection locked="0"/>
    </xf>
    <xf numFmtId="4" fontId="3" fillId="2" borderId="29" xfId="1" applyNumberFormat="1" applyFont="1" applyFill="1" applyBorder="1" applyAlignment="1" applyProtection="1">
      <alignment horizontal="right" vertical="center"/>
      <protection locked="0"/>
    </xf>
    <xf numFmtId="4" fontId="1" fillId="5" borderId="29" xfId="0" applyNumberFormat="1" applyFont="1" applyFill="1" applyBorder="1" applyAlignment="1" applyProtection="1">
      <alignment horizontal="right" vertical="center"/>
      <protection locked="0"/>
    </xf>
    <xf numFmtId="4" fontId="1" fillId="5" borderId="1" xfId="0" applyNumberFormat="1" applyFont="1" applyFill="1" applyBorder="1" applyAlignment="1" applyProtection="1">
      <alignment horizontal="right"/>
      <protection locked="0"/>
    </xf>
    <xf numFmtId="4" fontId="1" fillId="5" borderId="31" xfId="0" applyNumberFormat="1" applyFont="1" applyFill="1" applyBorder="1" applyAlignment="1" applyProtection="1">
      <alignment horizontal="right"/>
      <protection locked="0"/>
    </xf>
    <xf numFmtId="4" fontId="1" fillId="0" borderId="33" xfId="0" applyNumberFormat="1" applyFont="1" applyBorder="1" applyProtection="1">
      <protection locked="0"/>
    </xf>
    <xf numFmtId="4" fontId="1" fillId="0" borderId="0" xfId="0" applyNumberFormat="1" applyFont="1" applyAlignment="1" applyProtection="1">
      <alignment horizontal="right"/>
      <protection locked="0"/>
    </xf>
    <xf numFmtId="4" fontId="1" fillId="0" borderId="28" xfId="0" applyNumberFormat="1" applyFont="1" applyBorder="1" applyAlignment="1" applyProtection="1">
      <alignment horizontal="right"/>
      <protection locked="0"/>
    </xf>
    <xf numFmtId="4" fontId="1" fillId="0" borderId="36" xfId="0" applyNumberFormat="1" applyFont="1" applyBorder="1" applyProtection="1">
      <protection locked="0"/>
    </xf>
    <xf numFmtId="4" fontId="1" fillId="0" borderId="37" xfId="0" applyNumberFormat="1" applyFont="1" applyBorder="1" applyAlignment="1" applyProtection="1">
      <alignment horizontal="right"/>
      <protection locked="0"/>
    </xf>
    <xf numFmtId="4" fontId="22" fillId="2" borderId="0" xfId="0" applyNumberFormat="1" applyFont="1" applyFill="1" applyProtection="1">
      <protection locked="0"/>
    </xf>
    <xf numFmtId="4" fontId="1" fillId="5" borderId="5" xfId="1" applyNumberFormat="1" applyFont="1" applyFill="1" applyBorder="1" applyAlignment="1" applyProtection="1">
      <alignment horizontal="right"/>
      <protection locked="0"/>
    </xf>
    <xf numFmtId="4" fontId="1" fillId="2" borderId="0" xfId="0" applyNumberFormat="1" applyFont="1" applyFill="1" applyAlignment="1" applyProtection="1">
      <alignment horizontal="left" indent="1"/>
      <protection locked="0"/>
    </xf>
    <xf numFmtId="4" fontId="23" fillId="0" borderId="31" xfId="1" applyNumberFormat="1" applyFont="1" applyFill="1" applyBorder="1" applyAlignment="1" applyProtection="1">
      <alignment horizontal="right"/>
      <protection locked="0"/>
    </xf>
    <xf numFmtId="4" fontId="23" fillId="2" borderId="0" xfId="0" applyNumberFormat="1" applyFont="1" applyFill="1" applyAlignment="1" applyProtection="1">
      <alignment horizontal="left" indent="1"/>
      <protection locked="0"/>
    </xf>
    <xf numFmtId="4" fontId="1" fillId="5" borderId="1" xfId="1" applyNumberFormat="1" applyFont="1" applyFill="1" applyBorder="1" applyAlignment="1" applyProtection="1">
      <alignment horizontal="right"/>
      <protection locked="0"/>
    </xf>
    <xf numFmtId="4" fontId="3" fillId="5" borderId="1" xfId="1" applyNumberFormat="1" applyFont="1" applyFill="1" applyBorder="1" applyAlignment="1" applyProtection="1">
      <alignment horizontal="right"/>
      <protection locked="0"/>
    </xf>
    <xf numFmtId="4" fontId="3" fillId="5" borderId="46" xfId="1" applyNumberFormat="1" applyFont="1" applyFill="1" applyBorder="1" applyAlignment="1" applyProtection="1">
      <alignment horizontal="right"/>
      <protection locked="0"/>
    </xf>
    <xf numFmtId="4" fontId="3" fillId="2" borderId="0" xfId="0" applyNumberFormat="1" applyFont="1" applyFill="1" applyAlignment="1" applyProtection="1">
      <alignment horizontal="left" indent="1"/>
      <protection locked="0"/>
    </xf>
    <xf numFmtId="4" fontId="3" fillId="0" borderId="33" xfId="1" applyNumberFormat="1" applyFont="1" applyFill="1" applyBorder="1" applyProtection="1">
      <protection locked="0"/>
    </xf>
    <xf numFmtId="4" fontId="3" fillId="0" borderId="42" xfId="1" applyNumberFormat="1" applyFont="1" applyFill="1" applyBorder="1" applyProtection="1">
      <protection locked="0"/>
    </xf>
    <xf numFmtId="4" fontId="3" fillId="2" borderId="0" xfId="0" applyNumberFormat="1" applyFont="1" applyFill="1" applyProtection="1">
      <protection locked="0"/>
    </xf>
    <xf numFmtId="4" fontId="3" fillId="0" borderId="0" xfId="1" applyNumberFormat="1" applyFont="1" applyFill="1" applyBorder="1" applyProtection="1">
      <protection locked="0"/>
    </xf>
    <xf numFmtId="4" fontId="3" fillId="0" borderId="36" xfId="1" applyNumberFormat="1" applyFont="1" applyFill="1" applyBorder="1" applyProtection="1">
      <protection locked="0"/>
    </xf>
    <xf numFmtId="4" fontId="3" fillId="0" borderId="37" xfId="1" applyNumberFormat="1" applyFont="1" applyFill="1" applyBorder="1" applyProtection="1">
      <protection locked="0"/>
    </xf>
    <xf numFmtId="4" fontId="3" fillId="5" borderId="4" xfId="1" applyNumberFormat="1" applyFont="1" applyFill="1" applyBorder="1" applyAlignment="1" applyProtection="1">
      <alignment horizontal="right"/>
      <protection locked="0"/>
    </xf>
    <xf numFmtId="4" fontId="3" fillId="5" borderId="29" xfId="1" applyNumberFormat="1" applyFont="1" applyFill="1" applyBorder="1" applyProtection="1">
      <protection locked="0"/>
    </xf>
    <xf numFmtId="4" fontId="3" fillId="5" borderId="29" xfId="1" applyNumberFormat="1" applyFont="1" applyFill="1" applyBorder="1" applyAlignment="1" applyProtection="1">
      <alignment horizontal="right"/>
      <protection locked="0"/>
    </xf>
    <xf numFmtId="4" fontId="1" fillId="3" borderId="0" xfId="0" applyNumberFormat="1" applyFont="1" applyFill="1" applyProtection="1">
      <protection locked="0"/>
    </xf>
    <xf numFmtId="4" fontId="4" fillId="5" borderId="31" xfId="1" applyNumberFormat="1" applyFont="1" applyFill="1" applyBorder="1" applyAlignment="1" applyProtection="1">
      <alignment horizontal="right"/>
      <protection locked="0"/>
    </xf>
    <xf numFmtId="4" fontId="1" fillId="0" borderId="0" xfId="0" applyNumberFormat="1" applyFont="1" applyProtection="1">
      <protection locked="0"/>
    </xf>
    <xf numFmtId="4" fontId="1" fillId="3" borderId="31" xfId="1" applyNumberFormat="1" applyFont="1" applyFill="1" applyBorder="1" applyAlignment="1" applyProtection="1">
      <alignment horizontal="right"/>
      <protection locked="0"/>
    </xf>
    <xf numFmtId="4" fontId="4" fillId="0" borderId="0" xfId="1" applyNumberFormat="1" applyFont="1" applyFill="1" applyAlignment="1" applyProtection="1">
      <alignment horizontal="right"/>
      <protection locked="0"/>
    </xf>
    <xf numFmtId="4" fontId="3" fillId="0" borderId="0" xfId="1" applyNumberFormat="1" applyFont="1" applyFill="1" applyAlignment="1" applyProtection="1">
      <alignment horizontal="right"/>
      <protection locked="0"/>
    </xf>
    <xf numFmtId="4" fontId="3" fillId="0" borderId="43" xfId="1" applyNumberFormat="1" applyFont="1" applyFill="1" applyBorder="1" applyAlignment="1" applyProtection="1">
      <alignment horizontal="right"/>
      <protection locked="0"/>
    </xf>
    <xf numFmtId="1" fontId="26" fillId="2" borderId="31" xfId="0" applyNumberFormat="1" applyFont="1" applyFill="1" applyBorder="1" applyAlignment="1" applyProtection="1">
      <alignment horizontal="right"/>
      <protection locked="0"/>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49" fontId="4" fillId="0" borderId="7"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49" fontId="5" fillId="0" borderId="7"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protection locked="0"/>
    </xf>
    <xf numFmtId="0" fontId="5" fillId="0" borderId="1" xfId="0" applyFont="1" applyBorder="1" applyAlignment="1" applyProtection="1">
      <alignment horizontal="center"/>
      <protection locked="0"/>
    </xf>
    <xf numFmtId="49" fontId="5" fillId="0" borderId="41" xfId="0" applyNumberFormat="1" applyFont="1" applyBorder="1" applyAlignment="1" applyProtection="1">
      <alignment horizontal="center" vertical="center" wrapText="1"/>
      <protection locked="0"/>
    </xf>
    <xf numFmtId="0" fontId="5" fillId="0" borderId="41" xfId="0" applyFont="1" applyBorder="1" applyAlignment="1" applyProtection="1">
      <alignment horizontal="center"/>
      <protection locked="0"/>
    </xf>
    <xf numFmtId="0" fontId="1" fillId="0" borderId="47" xfId="0" applyFont="1" applyBorder="1" applyAlignment="1">
      <alignment horizontal="center" vertical="center"/>
    </xf>
    <xf numFmtId="0" fontId="3" fillId="0" borderId="21" xfId="0" applyFont="1" applyBorder="1" applyAlignment="1">
      <alignment horizontal="center" wrapText="1"/>
    </xf>
    <xf numFmtId="0" fontId="3" fillId="0" borderId="23"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3" fillId="0" borderId="50" xfId="0" applyFont="1" applyBorder="1" applyAlignment="1">
      <alignment horizontal="center" wrapText="1"/>
    </xf>
    <xf numFmtId="0" fontId="3" fillId="0" borderId="52" xfId="0" applyFont="1" applyBorder="1" applyAlignment="1">
      <alignment horizontal="center" wrapText="1"/>
    </xf>
    <xf numFmtId="0" fontId="1" fillId="0" borderId="22" xfId="0" applyFont="1" applyBorder="1" applyAlignment="1">
      <alignment horizontal="center"/>
    </xf>
    <xf numFmtId="0" fontId="1" fillId="0" borderId="17" xfId="0" applyFont="1" applyBorder="1" applyAlignment="1">
      <alignment horizontal="center"/>
    </xf>
    <xf numFmtId="4" fontId="1" fillId="2" borderId="0" xfId="0" applyNumberFormat="1" applyFont="1" applyFill="1" applyAlignment="1">
      <alignment horizontal="center" vertical="center" wrapText="1"/>
    </xf>
    <xf numFmtId="4" fontId="1" fillId="2" borderId="16" xfId="0" applyNumberFormat="1" applyFont="1" applyFill="1" applyBorder="1" applyAlignment="1">
      <alignment horizontal="center" vertical="center" wrapText="1"/>
    </xf>
    <xf numFmtId="3" fontId="1" fillId="0" borderId="0" xfId="0" applyNumberFormat="1" applyFont="1" applyAlignment="1">
      <alignment horizontal="center" vertical="center" wrapText="1"/>
    </xf>
    <xf numFmtId="1" fontId="7" fillId="0" borderId="44" xfId="0" applyNumberFormat="1" applyFont="1" applyBorder="1" applyAlignment="1">
      <alignment horizontal="center"/>
    </xf>
    <xf numFmtId="1" fontId="7" fillId="0" borderId="45" xfId="0" applyNumberFormat="1" applyFont="1" applyBorder="1" applyAlignment="1">
      <alignment horizontal="center"/>
    </xf>
    <xf numFmtId="0" fontId="29" fillId="9" borderId="31" xfId="0" applyFont="1" applyFill="1" applyBorder="1" applyAlignment="1">
      <alignment horizontal="center"/>
    </xf>
    <xf numFmtId="0" fontId="3" fillId="10" borderId="15"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28" fillId="0" borderId="0" xfId="4" applyFont="1" applyAlignment="1">
      <alignment horizontal="center" vertical="top" wrapText="1"/>
    </xf>
    <xf numFmtId="2" fontId="28" fillId="9" borderId="67" xfId="4" applyNumberFormat="1" applyFont="1" applyFill="1" applyBorder="1" applyAlignment="1">
      <alignment horizontal="center"/>
    </xf>
    <xf numFmtId="2" fontId="28" fillId="9" borderId="61" xfId="4" applyNumberFormat="1" applyFont="1" applyFill="1" applyBorder="1" applyAlignment="1">
      <alignment horizontal="center"/>
    </xf>
    <xf numFmtId="2" fontId="28" fillId="0" borderId="67" xfId="4" applyNumberFormat="1" applyFont="1" applyBorder="1" applyAlignment="1" applyProtection="1">
      <alignment horizontal="center"/>
      <protection locked="0"/>
    </xf>
    <xf numFmtId="2" fontId="28" fillId="0" borderId="61" xfId="4" applyNumberFormat="1" applyFont="1" applyBorder="1" applyAlignment="1" applyProtection="1">
      <alignment horizontal="center"/>
      <protection locked="0"/>
    </xf>
    <xf numFmtId="2" fontId="35" fillId="9" borderId="67" xfId="4" applyNumberFormat="1" applyFont="1" applyFill="1" applyBorder="1" applyAlignment="1" applyProtection="1">
      <alignment horizontal="center"/>
      <protection locked="0"/>
    </xf>
    <xf numFmtId="2" fontId="35" fillId="9" borderId="61" xfId="4" applyNumberFormat="1" applyFont="1" applyFill="1" applyBorder="1" applyAlignment="1" applyProtection="1">
      <alignment horizontal="center"/>
      <protection locked="0"/>
    </xf>
    <xf numFmtId="2" fontId="33" fillId="9" borderId="67" xfId="4" applyNumberFormat="1" applyFont="1" applyFill="1" applyBorder="1" applyAlignment="1">
      <alignment horizontal="center"/>
    </xf>
    <xf numFmtId="2" fontId="33" fillId="9" borderId="61" xfId="4" applyNumberFormat="1" applyFont="1" applyFill="1" applyBorder="1" applyAlignment="1">
      <alignment horizontal="center"/>
    </xf>
  </cellXfs>
  <cellStyles count="6">
    <cellStyle name="Comma" xfId="1" builtinId="3"/>
    <cellStyle name="Normaallaad 2" xfId="2" xr:uid="{00000000-0005-0000-0000-000001000000}"/>
    <cellStyle name="Normal" xfId="0" builtinId="0"/>
    <cellStyle name="Normal 3" xfId="4" xr:uid="{BD6D12EE-C729-4BC7-8F71-22E957DF871C}"/>
    <cellStyle name="Percent" xfId="3" builtinId="5"/>
    <cellStyle name="Percent 2" xfId="5" xr:uid="{8E9E8925-0EFF-41FE-A06F-7A2BA5D87BF3}"/>
  </cellStyles>
  <dxfs count="24">
    <dxf>
      <fill>
        <patternFill>
          <bgColor rgb="FFFF0000"/>
        </patternFill>
      </fill>
    </dxf>
    <dxf>
      <fill>
        <patternFill>
          <bgColor rgb="FFFF0000"/>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indexed="2"/>
      </font>
    </dxf>
    <dxf>
      <font>
        <color indexed="2"/>
      </font>
    </dxf>
    <dxf>
      <font>
        <b/>
        <i/>
        <color indexed="2"/>
      </font>
    </dxf>
    <dxf>
      <font>
        <b/>
        <i/>
        <color indexed="4"/>
      </font>
      <fill>
        <patternFill patternType="solid">
          <fgColor indexed="65"/>
          <bgColor indexed="65"/>
        </patternFill>
      </fill>
    </dxf>
    <dxf>
      <font>
        <b/>
        <i/>
        <color indexed="2"/>
      </font>
      <fill>
        <patternFill patternType="solid">
          <fgColor indexed="65"/>
          <bgColor indexed="65"/>
        </patternFill>
      </fill>
    </dxf>
    <dxf>
      <font>
        <b/>
        <i/>
        <color indexed="4"/>
      </font>
    </dxf>
    <dxf>
      <font>
        <b/>
        <i/>
        <color indexed="2"/>
      </font>
    </dxf>
    <dxf>
      <font>
        <b/>
        <i/>
        <color indexed="4"/>
      </font>
    </dxf>
  </dxfs>
  <tableStyles count="0" defaultTableStyle="TableStyleMedium2" defaultPivotStyle="PivotStyleLight16"/>
  <colors>
    <mruColors>
      <color rgb="FF3333FF"/>
      <color rgb="FF3366FF"/>
      <color rgb="FFCCFFCC"/>
      <color rgb="FF00FF00"/>
      <color rgb="FFCCFF33"/>
      <color rgb="FFFF6699"/>
      <color rgb="FFFF66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2611279</xdr:colOff>
      <xdr:row>5</xdr:row>
      <xdr:rowOff>19042</xdr:rowOff>
    </xdr:to>
    <xdr:pic>
      <xdr:nvPicPr>
        <xdr:cNvPr id="3" name="Picture 2">
          <a:extLst>
            <a:ext uri="{FF2B5EF4-FFF2-40B4-BE49-F238E27FC236}">
              <a16:creationId xmlns:a16="http://schemas.microsoft.com/office/drawing/2014/main" id="{38799F37-4526-4F39-9993-4891C53368FB}"/>
            </a:ext>
          </a:extLst>
        </xdr:cNvPr>
        <xdr:cNvPicPr>
          <a:picLocks noChangeAspect="1"/>
        </xdr:cNvPicPr>
      </xdr:nvPicPr>
      <xdr:blipFill>
        <a:blip xmlns:r="http://schemas.openxmlformats.org/officeDocument/2006/relationships" r:embed="rId1"/>
        <a:stretch>
          <a:fillRect/>
        </a:stretch>
      </xdr:blipFill>
      <xdr:spPr>
        <a:xfrm>
          <a:off x="0" y="0"/>
          <a:ext cx="2611279" cy="812792"/>
        </a:xfrm>
        <a:prstGeom prst="rect">
          <a:avLst/>
        </a:prstGeom>
      </xdr:spPr>
    </xdr:pic>
    <xdr:clientData/>
  </xdr:twoCellAnchor>
  <xdr:twoCellAnchor editAs="oneCell">
    <xdr:from>
      <xdr:col>0</xdr:col>
      <xdr:colOff>0</xdr:colOff>
      <xdr:row>0</xdr:row>
      <xdr:rowOff>1</xdr:rowOff>
    </xdr:from>
    <xdr:to>
      <xdr:col>0</xdr:col>
      <xdr:colOff>2611279</xdr:colOff>
      <xdr:row>5</xdr:row>
      <xdr:rowOff>19043</xdr:rowOff>
    </xdr:to>
    <xdr:pic>
      <xdr:nvPicPr>
        <xdr:cNvPr id="4" name="Picture 3">
          <a:extLst>
            <a:ext uri="{FF2B5EF4-FFF2-40B4-BE49-F238E27FC236}">
              <a16:creationId xmlns:a16="http://schemas.microsoft.com/office/drawing/2014/main" id="{58E6F08E-9B0A-495D-A3C2-7638E24CC095}"/>
            </a:ext>
          </a:extLst>
        </xdr:cNvPr>
        <xdr:cNvPicPr>
          <a:picLocks noChangeAspect="1"/>
        </xdr:cNvPicPr>
      </xdr:nvPicPr>
      <xdr:blipFill>
        <a:blip xmlns:r="http://schemas.openxmlformats.org/officeDocument/2006/relationships" r:embed="rId1"/>
        <a:stretch>
          <a:fillRect/>
        </a:stretch>
      </xdr:blipFill>
      <xdr:spPr>
        <a:xfrm>
          <a:off x="0" y="1"/>
          <a:ext cx="2611279" cy="812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52292</xdr:colOff>
      <xdr:row>15</xdr:row>
      <xdr:rowOff>141925</xdr:rowOff>
    </xdr:from>
    <xdr:to>
      <xdr:col>17</xdr:col>
      <xdr:colOff>11775</xdr:colOff>
      <xdr:row>36</xdr:row>
      <xdr:rowOff>89648</xdr:rowOff>
    </xdr:to>
    <xdr:pic>
      <xdr:nvPicPr>
        <xdr:cNvPr id="2" name="Picture 1">
          <a:extLst>
            <a:ext uri="{FF2B5EF4-FFF2-40B4-BE49-F238E27FC236}">
              <a16:creationId xmlns:a16="http://schemas.microsoft.com/office/drawing/2014/main" id="{83E8F077-9AC9-4754-B0DB-2D27AE624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9412" y="3974785"/>
          <a:ext cx="6626983" cy="3811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ristinS" id="{41C51134-9ADE-B1AD-DE5E-942FA0139559}"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3" personId="{41C51134-9ADE-B1AD-DE5E-942FA0139559}" id="{00D90021-00F8-4A5C-A396-00A800A500D7}">
    <text xml:space="preserve">(tööjõukulud+põhivara kulum+ärikasum)/töötajate arv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dimension ref="A1:Z105"/>
  <sheetViews>
    <sheetView zoomScale="85" zoomScaleNormal="85" workbookViewId="0">
      <pane xSplit="2" ySplit="13" topLeftCell="C14" activePane="bottomRight" state="frozen"/>
      <selection pane="topRight" activeCell="C1" sqref="C1"/>
      <selection pane="bottomLeft" activeCell="A8" sqref="A8"/>
      <selection pane="bottomRight"/>
    </sheetView>
  </sheetViews>
  <sheetFormatPr defaultRowHeight="12.5" x14ac:dyDescent="0.25"/>
  <cols>
    <col min="1" max="1" width="74.1796875" customWidth="1"/>
    <col min="2" max="2" width="24.81640625" style="1" customWidth="1"/>
    <col min="3" max="4" width="15.81640625" style="1" customWidth="1"/>
    <col min="5" max="12" width="15.81640625" customWidth="1"/>
    <col min="13" max="13" width="15.81640625" style="171" customWidth="1"/>
    <col min="14" max="26" width="8.81640625" style="171"/>
  </cols>
  <sheetData>
    <row r="1" spans="1:12" x14ac:dyDescent="0.25">
      <c r="A1" s="171"/>
      <c r="B1" s="171"/>
      <c r="C1" s="171"/>
      <c r="D1" s="171"/>
      <c r="E1" s="171"/>
      <c r="F1" s="200"/>
      <c r="G1" s="171"/>
      <c r="H1" s="171"/>
      <c r="I1" s="171"/>
      <c r="J1" s="171"/>
      <c r="K1" s="171"/>
      <c r="L1" s="363" t="s">
        <v>365</v>
      </c>
    </row>
    <row r="2" spans="1:12" x14ac:dyDescent="0.25">
      <c r="A2" s="171"/>
      <c r="B2" s="171"/>
      <c r="C2" s="171"/>
      <c r="D2" s="171"/>
      <c r="E2" s="171"/>
      <c r="F2" s="200"/>
      <c r="G2" s="171"/>
      <c r="H2" s="171"/>
      <c r="I2" s="171"/>
      <c r="J2" s="171"/>
      <c r="K2" s="171"/>
      <c r="L2" s="363" t="s">
        <v>366</v>
      </c>
    </row>
    <row r="3" spans="1:12" x14ac:dyDescent="0.25">
      <c r="A3" s="171"/>
      <c r="B3" s="171"/>
      <c r="C3" s="171"/>
      <c r="D3" s="171"/>
      <c r="E3" s="171"/>
      <c r="F3" s="200"/>
      <c r="G3" s="171"/>
      <c r="H3" s="171"/>
      <c r="I3" s="171"/>
      <c r="J3" s="171"/>
      <c r="K3" s="171"/>
      <c r="L3" s="363" t="s">
        <v>367</v>
      </c>
    </row>
    <row r="4" spans="1:12" x14ac:dyDescent="0.25">
      <c r="A4" s="171"/>
      <c r="B4" s="171"/>
      <c r="C4" s="171"/>
      <c r="D4" s="171"/>
      <c r="E4" s="171"/>
      <c r="F4" s="171"/>
      <c r="G4" s="171"/>
      <c r="H4" s="171"/>
      <c r="I4" s="171"/>
      <c r="J4" s="171"/>
      <c r="K4" s="171"/>
      <c r="L4" s="171"/>
    </row>
    <row r="5" spans="1:12" x14ac:dyDescent="0.25">
      <c r="A5" s="171"/>
      <c r="B5" s="171"/>
      <c r="C5" s="171"/>
      <c r="D5" s="171"/>
      <c r="E5" s="171"/>
      <c r="F5" s="171"/>
      <c r="G5" s="171"/>
      <c r="H5" s="171"/>
      <c r="I5" s="171"/>
      <c r="J5" s="171"/>
      <c r="K5" s="171"/>
      <c r="L5" s="171"/>
    </row>
    <row r="6" spans="1:12" x14ac:dyDescent="0.25">
      <c r="A6" s="171"/>
      <c r="B6" s="171"/>
      <c r="C6" s="171"/>
      <c r="D6" s="171"/>
      <c r="E6" s="171"/>
      <c r="F6" s="171"/>
      <c r="G6" s="171"/>
      <c r="H6" s="171"/>
      <c r="I6" s="171"/>
      <c r="J6" s="171"/>
      <c r="K6" s="171"/>
      <c r="L6" s="171"/>
    </row>
    <row r="7" spans="1:12" ht="13" x14ac:dyDescent="0.25">
      <c r="A7" s="177"/>
      <c r="B7" s="196">
        <v>2024</v>
      </c>
      <c r="C7" s="196">
        <v>2025</v>
      </c>
      <c r="D7" s="196">
        <v>2026</v>
      </c>
      <c r="E7" s="196">
        <v>2027</v>
      </c>
      <c r="F7" s="196">
        <v>2028</v>
      </c>
      <c r="G7" s="196">
        <v>2029</v>
      </c>
      <c r="H7" s="171"/>
      <c r="I7" s="171"/>
      <c r="J7" s="171"/>
      <c r="K7" s="171"/>
      <c r="L7" s="171"/>
    </row>
    <row r="8" spans="1:12" x14ac:dyDescent="0.25">
      <c r="A8" s="197" t="s">
        <v>230</v>
      </c>
      <c r="B8" s="268"/>
      <c r="C8" s="268"/>
      <c r="D8" s="268"/>
      <c r="E8" s="268"/>
      <c r="F8" s="268"/>
      <c r="G8" s="268"/>
      <c r="H8" s="171"/>
      <c r="I8" s="171"/>
      <c r="J8" s="171"/>
      <c r="K8" s="171"/>
      <c r="L8" s="171"/>
    </row>
    <row r="9" spans="1:12" x14ac:dyDescent="0.25">
      <c r="A9" s="197" t="s">
        <v>372</v>
      </c>
      <c r="B9" s="269"/>
      <c r="C9" s="269"/>
      <c r="D9" s="269"/>
      <c r="E9" s="269"/>
      <c r="F9" s="269"/>
      <c r="G9" s="269"/>
      <c r="H9" s="171"/>
      <c r="I9" s="171"/>
      <c r="J9" s="171"/>
      <c r="K9" s="171"/>
      <c r="L9" s="171"/>
    </row>
    <row r="10" spans="1:12" x14ac:dyDescent="0.25">
      <c r="A10" s="177" t="s">
        <v>0</v>
      </c>
      <c r="B10" s="269"/>
      <c r="C10" s="269"/>
      <c r="D10" s="269"/>
      <c r="E10" s="269"/>
      <c r="F10" s="269"/>
      <c r="G10" s="269"/>
      <c r="H10" s="171"/>
      <c r="I10" s="171"/>
      <c r="J10" s="171"/>
      <c r="K10" s="171"/>
      <c r="L10" s="171"/>
    </row>
    <row r="11" spans="1:12" x14ac:dyDescent="0.25">
      <c r="A11" s="197" t="s">
        <v>109</v>
      </c>
      <c r="B11" s="269"/>
      <c r="C11" s="269"/>
      <c r="D11" s="269"/>
      <c r="E11" s="269"/>
      <c r="F11" s="269"/>
      <c r="G11" s="269"/>
      <c r="H11" s="171"/>
      <c r="I11" s="171"/>
      <c r="J11" s="171"/>
      <c r="K11" s="171"/>
      <c r="L11" s="171"/>
    </row>
    <row r="12" spans="1:12" x14ac:dyDescent="0.25">
      <c r="A12" s="197" t="s">
        <v>110</v>
      </c>
      <c r="B12" s="269"/>
      <c r="C12" s="269"/>
      <c r="D12" s="269"/>
      <c r="E12" s="269"/>
      <c r="F12" s="269"/>
      <c r="G12" s="269"/>
      <c r="H12" s="171"/>
      <c r="I12" s="171"/>
      <c r="J12" s="171"/>
      <c r="K12" s="171"/>
      <c r="L12" s="171"/>
    </row>
    <row r="13" spans="1:12" x14ac:dyDescent="0.25">
      <c r="A13" s="198" t="s">
        <v>1</v>
      </c>
      <c r="B13" s="269"/>
      <c r="C13" s="269"/>
      <c r="D13" s="269"/>
      <c r="E13" s="269"/>
      <c r="F13" s="269"/>
      <c r="G13" s="269"/>
      <c r="H13" s="171"/>
      <c r="I13" s="171"/>
      <c r="J13" s="171"/>
      <c r="K13" s="171"/>
      <c r="L13" s="171"/>
    </row>
    <row r="14" spans="1:12" x14ac:dyDescent="0.25">
      <c r="A14" s="171"/>
      <c r="B14" s="203"/>
      <c r="C14" s="203"/>
      <c r="D14" s="203"/>
      <c r="E14" s="171"/>
      <c r="F14" s="171"/>
      <c r="G14" s="171"/>
      <c r="H14" s="171"/>
      <c r="I14" s="171"/>
      <c r="J14" s="171"/>
      <c r="K14" s="171"/>
      <c r="L14" s="171"/>
    </row>
    <row r="15" spans="1:12" ht="13" x14ac:dyDescent="0.3">
      <c r="A15" s="199"/>
      <c r="B15" s="204"/>
      <c r="C15" s="204"/>
      <c r="D15" s="204"/>
      <c r="E15" s="171"/>
      <c r="F15" s="171"/>
      <c r="G15" s="171"/>
      <c r="H15" s="171"/>
      <c r="I15" s="171"/>
      <c r="J15" s="171"/>
      <c r="K15" s="171"/>
      <c r="L15" s="171"/>
    </row>
    <row r="16" spans="1:12" ht="13" x14ac:dyDescent="0.3">
      <c r="A16" s="199" t="s">
        <v>289</v>
      </c>
      <c r="B16" s="204"/>
      <c r="C16" s="204"/>
      <c r="D16" s="204"/>
      <c r="E16" s="171"/>
      <c r="F16" s="171"/>
      <c r="G16" s="171"/>
      <c r="H16" s="171"/>
      <c r="I16" s="171"/>
      <c r="J16" s="171"/>
      <c r="K16" s="171"/>
      <c r="L16" s="171"/>
    </row>
    <row r="17" spans="1:26" x14ac:dyDescent="0.25">
      <c r="A17" s="200"/>
      <c r="B17" s="204"/>
      <c r="C17" s="204"/>
      <c r="D17" s="204"/>
      <c r="E17" s="171"/>
      <c r="F17" s="171"/>
      <c r="G17" s="171"/>
      <c r="H17" s="171"/>
      <c r="I17" s="171"/>
      <c r="J17" s="171"/>
      <c r="K17" s="171"/>
      <c r="L17" s="171"/>
    </row>
    <row r="18" spans="1:26" s="4" customFormat="1" ht="25" customHeight="1" x14ac:dyDescent="0.25">
      <c r="A18" s="212" t="s">
        <v>221</v>
      </c>
      <c r="B18" s="205" t="s">
        <v>222</v>
      </c>
      <c r="C18" s="213" t="s">
        <v>223</v>
      </c>
      <c r="D18" s="212" t="s">
        <v>224</v>
      </c>
      <c r="E18" s="212" t="s">
        <v>225</v>
      </c>
      <c r="F18" s="212" t="s">
        <v>228</v>
      </c>
      <c r="G18" s="205">
        <v>2024</v>
      </c>
      <c r="H18" s="205">
        <v>2025</v>
      </c>
      <c r="I18" s="205">
        <v>2026</v>
      </c>
      <c r="J18" s="205">
        <v>2027</v>
      </c>
      <c r="K18" s="205">
        <v>2028</v>
      </c>
      <c r="L18" s="205">
        <v>2029</v>
      </c>
      <c r="M18" s="202"/>
      <c r="N18" s="202"/>
      <c r="O18" s="202"/>
      <c r="P18" s="202"/>
      <c r="Q18" s="202"/>
      <c r="R18" s="202"/>
      <c r="S18" s="202"/>
      <c r="T18" s="202"/>
      <c r="U18" s="202"/>
      <c r="V18" s="202"/>
      <c r="W18" s="202"/>
      <c r="X18" s="202"/>
      <c r="Y18" s="202"/>
      <c r="Z18" s="202"/>
    </row>
    <row r="19" spans="1:26" x14ac:dyDescent="0.25">
      <c r="A19" s="270"/>
      <c r="B19" s="271"/>
      <c r="C19" s="272"/>
      <c r="D19" s="364"/>
      <c r="E19" s="365"/>
      <c r="F19" s="275"/>
      <c r="G19" s="272"/>
      <c r="H19" s="275"/>
      <c r="I19" s="275"/>
      <c r="J19" s="275"/>
      <c r="K19" s="275"/>
      <c r="L19" s="275"/>
    </row>
    <row r="20" spans="1:26" x14ac:dyDescent="0.25">
      <c r="A20" s="270"/>
      <c r="B20" s="271"/>
      <c r="C20" s="272"/>
      <c r="D20" s="364"/>
      <c r="E20" s="365"/>
      <c r="F20" s="275"/>
      <c r="G20" s="272"/>
      <c r="H20" s="275"/>
      <c r="I20" s="275"/>
      <c r="J20" s="275"/>
      <c r="K20" s="275"/>
      <c r="L20" s="275"/>
    </row>
    <row r="21" spans="1:26" x14ac:dyDescent="0.25">
      <c r="A21" s="270"/>
      <c r="B21" s="271"/>
      <c r="C21" s="272"/>
      <c r="D21" s="364"/>
      <c r="E21" s="365"/>
      <c r="F21" s="275"/>
      <c r="G21" s="272"/>
      <c r="H21" s="275"/>
      <c r="I21" s="275"/>
      <c r="J21" s="275"/>
      <c r="K21" s="275"/>
      <c r="L21" s="275"/>
    </row>
    <row r="22" spans="1:26" x14ac:dyDescent="0.25">
      <c r="A22" s="270"/>
      <c r="B22" s="271"/>
      <c r="C22" s="272"/>
      <c r="D22" s="364"/>
      <c r="E22" s="365"/>
      <c r="F22" s="275"/>
      <c r="G22" s="272"/>
      <c r="H22" s="275"/>
      <c r="I22" s="275"/>
      <c r="J22" s="275"/>
      <c r="K22" s="275"/>
      <c r="L22" s="275"/>
    </row>
    <row r="23" spans="1:26" x14ac:dyDescent="0.25">
      <c r="A23" s="273"/>
      <c r="B23" s="271"/>
      <c r="C23" s="272"/>
      <c r="D23" s="364"/>
      <c r="E23" s="365"/>
      <c r="F23" s="275"/>
      <c r="G23" s="272"/>
      <c r="H23" s="275"/>
      <c r="I23" s="275"/>
      <c r="J23" s="275"/>
      <c r="K23" s="275"/>
      <c r="L23" s="275"/>
    </row>
    <row r="24" spans="1:26" x14ac:dyDescent="0.25">
      <c r="A24" s="270"/>
      <c r="B24" s="271"/>
      <c r="C24" s="272"/>
      <c r="D24" s="364"/>
      <c r="E24" s="365"/>
      <c r="F24" s="275"/>
      <c r="G24" s="272"/>
      <c r="H24" s="275"/>
      <c r="I24" s="275"/>
      <c r="J24" s="275"/>
      <c r="K24" s="275"/>
      <c r="L24" s="275"/>
    </row>
    <row r="25" spans="1:26" x14ac:dyDescent="0.25">
      <c r="A25" s="270"/>
      <c r="B25" s="274"/>
      <c r="C25" s="272"/>
      <c r="D25" s="364"/>
      <c r="E25" s="365"/>
      <c r="F25" s="275"/>
      <c r="G25" s="276"/>
      <c r="H25" s="275"/>
      <c r="I25" s="275"/>
      <c r="J25" s="275"/>
      <c r="K25" s="275"/>
      <c r="L25" s="275"/>
    </row>
    <row r="26" spans="1:26" ht="13" x14ac:dyDescent="0.3">
      <c r="A26" s="201" t="s">
        <v>229</v>
      </c>
      <c r="B26" s="206"/>
      <c r="C26" s="207">
        <f>SUM(C19:C25)</f>
        <v>0</v>
      </c>
      <c r="D26" s="207">
        <f>SUM(D19:D25)</f>
        <v>0</v>
      </c>
      <c r="E26" s="208">
        <f>SUM(E19:E25)</f>
        <v>0</v>
      </c>
      <c r="F26" s="208">
        <f>SUM(F19:F25)</f>
        <v>0</v>
      </c>
      <c r="G26" s="208">
        <f>SUM(G19:G25)</f>
        <v>0</v>
      </c>
      <c r="H26" s="208">
        <f t="shared" ref="H26:J26" si="0">SUM(H19:H25)</f>
        <v>0</v>
      </c>
      <c r="I26" s="208">
        <f t="shared" si="0"/>
        <v>0</v>
      </c>
      <c r="J26" s="208">
        <f t="shared" si="0"/>
        <v>0</v>
      </c>
      <c r="K26" s="208">
        <f t="shared" ref="K26" si="1">SUM(K19:K25)</f>
        <v>0</v>
      </c>
      <c r="L26" s="208">
        <f t="shared" ref="L26" si="2">SUM(L19:L25)</f>
        <v>0</v>
      </c>
    </row>
    <row r="27" spans="1:26" ht="13" x14ac:dyDescent="0.3">
      <c r="A27" s="199"/>
      <c r="B27" s="209"/>
      <c r="C27" s="210"/>
      <c r="D27" s="210"/>
      <c r="E27" s="211"/>
      <c r="F27" s="211"/>
      <c r="G27" s="171"/>
      <c r="H27" s="171"/>
      <c r="I27" s="171"/>
      <c r="J27" s="171"/>
      <c r="K27" s="171"/>
      <c r="L27" s="171"/>
    </row>
    <row r="28" spans="1:26" ht="13" x14ac:dyDescent="0.3">
      <c r="A28" s="199"/>
      <c r="B28" s="209"/>
      <c r="C28" s="210"/>
      <c r="D28" s="210"/>
      <c r="E28" s="211"/>
      <c r="F28" s="211"/>
      <c r="G28" s="171"/>
      <c r="H28" s="171"/>
      <c r="I28" s="171"/>
      <c r="J28" s="171"/>
      <c r="K28" s="171"/>
      <c r="L28" s="171"/>
    </row>
    <row r="29" spans="1:26" x14ac:dyDescent="0.25">
      <c r="A29" s="171"/>
      <c r="B29" s="204"/>
      <c r="C29" s="204"/>
      <c r="D29" s="204"/>
      <c r="E29" s="171"/>
      <c r="F29" s="171"/>
      <c r="G29" s="171"/>
      <c r="H29" s="171"/>
      <c r="I29" s="171"/>
      <c r="J29" s="171"/>
      <c r="K29" s="171"/>
      <c r="L29" s="171"/>
    </row>
    <row r="30" spans="1:26" ht="15.5" x14ac:dyDescent="0.35">
      <c r="A30" s="214" t="s">
        <v>356</v>
      </c>
      <c r="B30" s="219"/>
      <c r="C30" s="219"/>
      <c r="D30" s="219"/>
      <c r="E30" s="218"/>
      <c r="F30" s="218"/>
      <c r="G30" s="171"/>
      <c r="H30" s="171"/>
      <c r="I30" s="171"/>
      <c r="J30" s="171"/>
      <c r="K30" s="171"/>
      <c r="L30" s="171"/>
    </row>
    <row r="31" spans="1:26" ht="13" x14ac:dyDescent="0.3">
      <c r="A31" s="215" t="s">
        <v>299</v>
      </c>
      <c r="B31" s="219"/>
      <c r="C31" s="219"/>
      <c r="D31" s="219"/>
      <c r="E31" s="218"/>
      <c r="F31" s="218"/>
      <c r="G31" s="171"/>
      <c r="H31" s="171"/>
      <c r="I31" s="171"/>
      <c r="J31" s="171"/>
      <c r="K31" s="171"/>
      <c r="L31" s="171"/>
    </row>
    <row r="32" spans="1:26" ht="13" x14ac:dyDescent="0.3">
      <c r="A32" s="216" t="s">
        <v>211</v>
      </c>
      <c r="B32" s="219"/>
      <c r="C32" s="219"/>
      <c r="D32" s="219"/>
      <c r="E32" s="218"/>
      <c r="F32" s="218"/>
      <c r="G32" s="171"/>
      <c r="H32" s="171"/>
      <c r="I32" s="171"/>
      <c r="J32" s="171"/>
      <c r="K32" s="171"/>
      <c r="L32" s="171"/>
    </row>
    <row r="33" spans="1:12" ht="13" x14ac:dyDescent="0.3">
      <c r="A33" s="216" t="s">
        <v>210</v>
      </c>
      <c r="B33" s="219"/>
      <c r="C33" s="219"/>
      <c r="D33" s="219"/>
      <c r="E33" s="218"/>
      <c r="F33" s="218"/>
      <c r="G33" s="171"/>
      <c r="H33" s="171"/>
      <c r="I33" s="171"/>
      <c r="J33" s="171"/>
      <c r="K33" s="171"/>
      <c r="L33" s="171"/>
    </row>
    <row r="34" spans="1:12" ht="15" customHeight="1" x14ac:dyDescent="0.3">
      <c r="A34" s="216" t="s">
        <v>300</v>
      </c>
      <c r="B34" s="219"/>
      <c r="C34" s="219"/>
      <c r="D34" s="219"/>
      <c r="E34" s="218"/>
      <c r="F34" s="218"/>
      <c r="G34" s="171"/>
      <c r="H34" s="171"/>
      <c r="I34" s="171"/>
      <c r="J34" s="171"/>
      <c r="K34" s="171"/>
      <c r="L34" s="171"/>
    </row>
    <row r="35" spans="1:12" ht="13" x14ac:dyDescent="0.25">
      <c r="A35" s="217" t="s">
        <v>218</v>
      </c>
      <c r="B35" s="219"/>
      <c r="C35" s="219"/>
      <c r="D35" s="219"/>
      <c r="E35" s="218"/>
      <c r="F35" s="218"/>
      <c r="G35" s="171"/>
      <c r="H35" s="171"/>
      <c r="I35" s="171"/>
      <c r="J35" s="171"/>
      <c r="K35" s="171"/>
      <c r="L35" s="171"/>
    </row>
    <row r="36" spans="1:12" ht="15" customHeight="1" x14ac:dyDescent="0.3">
      <c r="A36" s="215" t="s">
        <v>212</v>
      </c>
      <c r="B36" s="219"/>
      <c r="C36" s="219"/>
      <c r="D36" s="219"/>
      <c r="E36" s="218"/>
      <c r="F36" s="218"/>
      <c r="G36" s="171"/>
      <c r="H36" s="171"/>
      <c r="I36" s="171"/>
      <c r="J36" s="171"/>
      <c r="K36" s="171"/>
      <c r="L36" s="171"/>
    </row>
    <row r="37" spans="1:12" ht="13" x14ac:dyDescent="0.3">
      <c r="A37" s="218" t="s">
        <v>2</v>
      </c>
      <c r="B37" s="219"/>
      <c r="C37" s="219"/>
      <c r="D37" s="219"/>
      <c r="E37" s="218"/>
      <c r="F37" s="218"/>
      <c r="G37" s="171"/>
      <c r="H37" s="171"/>
      <c r="I37" s="171"/>
      <c r="J37" s="171"/>
      <c r="K37" s="171"/>
      <c r="L37" s="171"/>
    </row>
    <row r="38" spans="1:12" x14ac:dyDescent="0.25">
      <c r="A38" s="218"/>
      <c r="B38" s="219"/>
      <c r="C38" s="219"/>
      <c r="D38" s="219"/>
      <c r="E38" s="218"/>
      <c r="F38" s="218"/>
      <c r="G38" s="171"/>
      <c r="H38" s="171"/>
      <c r="I38" s="171"/>
      <c r="J38" s="171"/>
      <c r="K38" s="171"/>
      <c r="L38" s="171"/>
    </row>
    <row r="39" spans="1:12" x14ac:dyDescent="0.25">
      <c r="A39" s="171"/>
      <c r="B39" s="204"/>
      <c r="C39" s="204"/>
      <c r="D39" s="204"/>
      <c r="E39" s="171"/>
      <c r="F39" s="171"/>
      <c r="G39" s="171"/>
      <c r="H39" s="171"/>
      <c r="I39" s="171"/>
      <c r="J39" s="171"/>
      <c r="K39" s="171"/>
      <c r="L39" s="171"/>
    </row>
    <row r="40" spans="1:12" x14ac:dyDescent="0.25">
      <c r="A40" s="171"/>
      <c r="B40" s="204"/>
      <c r="C40" s="204"/>
      <c r="D40" s="204"/>
      <c r="E40" s="171"/>
      <c r="F40" s="171"/>
      <c r="G40" s="171"/>
      <c r="H40" s="171"/>
      <c r="I40" s="171"/>
      <c r="J40" s="171"/>
      <c r="K40" s="171"/>
      <c r="L40" s="171"/>
    </row>
    <row r="41" spans="1:12" ht="13" x14ac:dyDescent="0.3">
      <c r="A41" s="201" t="s">
        <v>222</v>
      </c>
      <c r="B41" s="225">
        <v>2024</v>
      </c>
      <c r="C41" s="225">
        <v>2025</v>
      </c>
      <c r="D41" s="225">
        <v>2026</v>
      </c>
      <c r="E41" s="225">
        <v>2027</v>
      </c>
      <c r="F41" s="225">
        <v>2028</v>
      </c>
      <c r="G41" s="225">
        <v>2029</v>
      </c>
      <c r="H41" s="171"/>
      <c r="I41" s="171"/>
      <c r="J41" s="171"/>
      <c r="K41" s="171"/>
      <c r="L41" s="171"/>
    </row>
    <row r="42" spans="1:12" hidden="1" x14ac:dyDescent="0.25">
      <c r="A42" s="177"/>
      <c r="B42" s="226"/>
      <c r="C42" s="226"/>
      <c r="D42" s="226"/>
      <c r="E42" s="177"/>
      <c r="F42" s="177"/>
      <c r="G42" s="177"/>
      <c r="H42" s="171"/>
      <c r="I42" s="171"/>
      <c r="J42" s="171"/>
      <c r="K42" s="171"/>
      <c r="L42" s="171"/>
    </row>
    <row r="43" spans="1:12" x14ac:dyDescent="0.25">
      <c r="A43" s="177" t="s">
        <v>104</v>
      </c>
      <c r="B43" s="224">
        <f>SUMIF($B$19:$B$25,$A43,G$19:G$25)</f>
        <v>0</v>
      </c>
      <c r="C43" s="224">
        <f t="shared" ref="C43:G45" si="3">SUMIF($B$19:$B$25,$A43,H$19:H$25)</f>
        <v>0</v>
      </c>
      <c r="D43" s="224">
        <f>SUMIF($B$19:$B$25,$A43,I$19:I$25)</f>
        <v>0</v>
      </c>
      <c r="E43" s="224">
        <f t="shared" si="3"/>
        <v>0</v>
      </c>
      <c r="F43" s="224">
        <f t="shared" si="3"/>
        <v>0</v>
      </c>
      <c r="G43" s="224">
        <f t="shared" si="3"/>
        <v>0</v>
      </c>
      <c r="H43" s="171"/>
      <c r="I43" s="171"/>
      <c r="J43" s="171"/>
      <c r="K43" s="171"/>
      <c r="L43" s="171"/>
    </row>
    <row r="44" spans="1:12" x14ac:dyDescent="0.25">
      <c r="A44" s="177" t="s">
        <v>227</v>
      </c>
      <c r="B44" s="224">
        <f>SUMIF($B$19:$B$25,$A44,G$19:G$25)</f>
        <v>0</v>
      </c>
      <c r="C44" s="224">
        <f t="shared" si="3"/>
        <v>0</v>
      </c>
      <c r="D44" s="224">
        <f t="shared" si="3"/>
        <v>0</v>
      </c>
      <c r="E44" s="224">
        <f t="shared" si="3"/>
        <v>0</v>
      </c>
      <c r="F44" s="224">
        <f t="shared" si="3"/>
        <v>0</v>
      </c>
      <c r="G44" s="224">
        <f t="shared" si="3"/>
        <v>0</v>
      </c>
      <c r="H44" s="171"/>
      <c r="I44" s="171"/>
      <c r="J44" s="171"/>
      <c r="K44" s="171"/>
      <c r="L44" s="171"/>
    </row>
    <row r="45" spans="1:12" x14ac:dyDescent="0.25">
      <c r="A45" s="177" t="s">
        <v>63</v>
      </c>
      <c r="B45" s="224">
        <f t="shared" ref="B45" si="4">SUMIF($B$19:$B$25,$A45,G$19:G$25)</f>
        <v>0</v>
      </c>
      <c r="C45" s="224">
        <f t="shared" si="3"/>
        <v>0</v>
      </c>
      <c r="D45" s="224">
        <f>SUMIF($B$19:$B$25,$A45,I$19:I$25)</f>
        <v>0</v>
      </c>
      <c r="E45" s="224">
        <f t="shared" si="3"/>
        <v>0</v>
      </c>
      <c r="F45" s="224">
        <f t="shared" si="3"/>
        <v>0</v>
      </c>
      <c r="G45" s="224">
        <f t="shared" si="3"/>
        <v>0</v>
      </c>
      <c r="H45" s="171"/>
      <c r="I45" s="171"/>
      <c r="J45" s="171"/>
      <c r="K45" s="171"/>
      <c r="L45" s="171"/>
    </row>
    <row r="46" spans="1:12" x14ac:dyDescent="0.25">
      <c r="A46" s="227" t="s">
        <v>294</v>
      </c>
      <c r="B46" s="224">
        <f t="shared" ref="B46:G46" si="5">SUM(B43:B45)</f>
        <v>0</v>
      </c>
      <c r="C46" s="224">
        <f t="shared" si="5"/>
        <v>0</v>
      </c>
      <c r="D46" s="224">
        <f t="shared" si="5"/>
        <v>0</v>
      </c>
      <c r="E46" s="224">
        <f t="shared" si="5"/>
        <v>0</v>
      </c>
      <c r="F46" s="224">
        <f t="shared" si="5"/>
        <v>0</v>
      </c>
      <c r="G46" s="224">
        <f t="shared" si="5"/>
        <v>0</v>
      </c>
      <c r="H46" s="171"/>
      <c r="I46" s="171"/>
      <c r="J46" s="171"/>
      <c r="K46" s="171"/>
      <c r="L46" s="171"/>
    </row>
    <row r="47" spans="1:12" x14ac:dyDescent="0.25">
      <c r="A47" s="228" t="s">
        <v>296</v>
      </c>
      <c r="B47" s="224">
        <f t="shared" ref="B47:G47" si="6">0.22*B46</f>
        <v>0</v>
      </c>
      <c r="C47" s="224">
        <f t="shared" si="6"/>
        <v>0</v>
      </c>
      <c r="D47" s="224">
        <f t="shared" si="6"/>
        <v>0</v>
      </c>
      <c r="E47" s="224">
        <f t="shared" si="6"/>
        <v>0</v>
      </c>
      <c r="F47" s="224">
        <f t="shared" si="6"/>
        <v>0</v>
      </c>
      <c r="G47" s="224">
        <f t="shared" si="6"/>
        <v>0</v>
      </c>
      <c r="H47" s="171"/>
      <c r="I47" s="171"/>
      <c r="J47" s="171"/>
      <c r="K47" s="171"/>
      <c r="L47" s="171"/>
    </row>
    <row r="48" spans="1:12" x14ac:dyDescent="0.25">
      <c r="A48" s="228" t="s">
        <v>295</v>
      </c>
      <c r="B48" s="224">
        <f>SUM(B46:B47)</f>
        <v>0</v>
      </c>
      <c r="C48" s="224">
        <f t="shared" ref="C48:G48" si="7">SUM(C46:C47)</f>
        <v>0</v>
      </c>
      <c r="D48" s="224">
        <f t="shared" si="7"/>
        <v>0</v>
      </c>
      <c r="E48" s="224">
        <f t="shared" si="7"/>
        <v>0</v>
      </c>
      <c r="F48" s="224">
        <f t="shared" si="7"/>
        <v>0</v>
      </c>
      <c r="G48" s="224">
        <f t="shared" si="7"/>
        <v>0</v>
      </c>
      <c r="H48" s="171"/>
      <c r="I48" s="171"/>
      <c r="J48" s="171"/>
      <c r="K48" s="171"/>
      <c r="L48" s="171"/>
    </row>
    <row r="49" spans="1:4" s="171" customFormat="1" x14ac:dyDescent="0.25">
      <c r="A49" s="202"/>
      <c r="B49" s="204"/>
      <c r="C49" s="204"/>
      <c r="D49" s="204"/>
    </row>
    <row r="50" spans="1:4" s="171" customFormat="1" x14ac:dyDescent="0.25">
      <c r="B50" s="204"/>
      <c r="C50" s="204"/>
      <c r="D50" s="204"/>
    </row>
    <row r="51" spans="1:4" s="171" customFormat="1" x14ac:dyDescent="0.25">
      <c r="B51" s="204"/>
      <c r="C51" s="204"/>
      <c r="D51" s="204"/>
    </row>
    <row r="52" spans="1:4" s="171" customFormat="1" x14ac:dyDescent="0.25">
      <c r="B52" s="204"/>
      <c r="C52" s="204"/>
      <c r="D52" s="204"/>
    </row>
    <row r="53" spans="1:4" s="171" customFormat="1" x14ac:dyDescent="0.25">
      <c r="B53" s="204"/>
      <c r="C53" s="204"/>
      <c r="D53" s="204"/>
    </row>
    <row r="54" spans="1:4" s="171" customFormat="1" x14ac:dyDescent="0.25">
      <c r="B54" s="204"/>
      <c r="C54" s="204"/>
      <c r="D54" s="204"/>
    </row>
    <row r="55" spans="1:4" s="171" customFormat="1" x14ac:dyDescent="0.25">
      <c r="B55" s="204"/>
      <c r="C55" s="204"/>
      <c r="D55" s="204"/>
    </row>
    <row r="56" spans="1:4" s="171" customFormat="1" x14ac:dyDescent="0.25">
      <c r="B56" s="204"/>
      <c r="C56" s="204"/>
      <c r="D56" s="204"/>
    </row>
    <row r="57" spans="1:4" s="171" customFormat="1" x14ac:dyDescent="0.25">
      <c r="B57" s="204"/>
      <c r="C57" s="204"/>
      <c r="D57" s="204"/>
    </row>
    <row r="58" spans="1:4" s="171" customFormat="1" x14ac:dyDescent="0.25">
      <c r="B58" s="204"/>
      <c r="C58" s="204"/>
      <c r="D58" s="204"/>
    </row>
    <row r="59" spans="1:4" s="171" customFormat="1" x14ac:dyDescent="0.25">
      <c r="B59" s="204"/>
      <c r="C59" s="204"/>
      <c r="D59" s="204"/>
    </row>
    <row r="60" spans="1:4" s="171" customFormat="1" x14ac:dyDescent="0.25">
      <c r="B60" s="204"/>
      <c r="C60" s="204"/>
      <c r="D60" s="204"/>
    </row>
    <row r="61" spans="1:4" s="171" customFormat="1" x14ac:dyDescent="0.25">
      <c r="B61" s="204"/>
      <c r="C61" s="204"/>
      <c r="D61" s="204"/>
    </row>
    <row r="62" spans="1:4" s="171" customFormat="1" x14ac:dyDescent="0.25">
      <c r="B62" s="204"/>
      <c r="C62" s="204"/>
      <c r="D62" s="204"/>
    </row>
    <row r="63" spans="1:4" s="171" customFormat="1" x14ac:dyDescent="0.25">
      <c r="B63" s="204"/>
      <c r="C63" s="204"/>
      <c r="D63" s="204"/>
    </row>
    <row r="64" spans="1:4" s="171" customFormat="1" x14ac:dyDescent="0.25">
      <c r="B64" s="204"/>
      <c r="C64" s="204"/>
      <c r="D64" s="204"/>
    </row>
    <row r="65" spans="2:4" s="171" customFormat="1" x14ac:dyDescent="0.25">
      <c r="B65" s="204"/>
      <c r="C65" s="204"/>
      <c r="D65" s="204"/>
    </row>
    <row r="66" spans="2:4" s="171" customFormat="1" x14ac:dyDescent="0.25">
      <c r="B66" s="204"/>
      <c r="C66" s="204"/>
      <c r="D66" s="204"/>
    </row>
    <row r="67" spans="2:4" s="171" customFormat="1" x14ac:dyDescent="0.25">
      <c r="B67" s="204"/>
      <c r="C67" s="204"/>
      <c r="D67" s="204"/>
    </row>
    <row r="68" spans="2:4" s="171" customFormat="1" x14ac:dyDescent="0.25">
      <c r="B68" s="204"/>
      <c r="C68" s="204"/>
      <c r="D68" s="204"/>
    </row>
    <row r="69" spans="2:4" s="171" customFormat="1" x14ac:dyDescent="0.25">
      <c r="B69" s="204"/>
      <c r="C69" s="204"/>
      <c r="D69" s="204"/>
    </row>
    <row r="70" spans="2:4" s="171" customFormat="1" x14ac:dyDescent="0.25">
      <c r="B70" s="204"/>
      <c r="C70" s="204"/>
      <c r="D70" s="204"/>
    </row>
    <row r="71" spans="2:4" s="171" customFormat="1" x14ac:dyDescent="0.25">
      <c r="B71" s="204"/>
      <c r="C71" s="204"/>
      <c r="D71" s="204"/>
    </row>
    <row r="72" spans="2:4" s="171" customFormat="1" x14ac:dyDescent="0.25">
      <c r="B72" s="204"/>
      <c r="C72" s="204"/>
      <c r="D72" s="204"/>
    </row>
    <row r="73" spans="2:4" s="171" customFormat="1" x14ac:dyDescent="0.25">
      <c r="B73" s="204"/>
      <c r="C73" s="204"/>
      <c r="D73" s="204"/>
    </row>
    <row r="74" spans="2:4" s="171" customFormat="1" x14ac:dyDescent="0.25">
      <c r="B74" s="204"/>
      <c r="C74" s="204"/>
      <c r="D74" s="204"/>
    </row>
    <row r="75" spans="2:4" s="171" customFormat="1" x14ac:dyDescent="0.25">
      <c r="B75" s="204"/>
      <c r="C75" s="204"/>
      <c r="D75" s="204"/>
    </row>
    <row r="76" spans="2:4" s="171" customFormat="1" x14ac:dyDescent="0.25">
      <c r="B76" s="204"/>
      <c r="C76" s="204"/>
      <c r="D76" s="204"/>
    </row>
    <row r="77" spans="2:4" s="171" customFormat="1" x14ac:dyDescent="0.25">
      <c r="B77" s="204"/>
      <c r="C77" s="204"/>
      <c r="D77" s="204"/>
    </row>
    <row r="78" spans="2:4" s="171" customFormat="1" x14ac:dyDescent="0.25">
      <c r="B78" s="204"/>
      <c r="C78" s="204"/>
      <c r="D78" s="204"/>
    </row>
    <row r="79" spans="2:4" s="171" customFormat="1" x14ac:dyDescent="0.25">
      <c r="B79" s="204"/>
      <c r="C79" s="204"/>
      <c r="D79" s="204"/>
    </row>
    <row r="80" spans="2:4" s="171" customFormat="1" x14ac:dyDescent="0.25">
      <c r="B80" s="204"/>
      <c r="C80" s="204"/>
      <c r="D80" s="204"/>
    </row>
    <row r="81" spans="2:4" s="171" customFormat="1" x14ac:dyDescent="0.25">
      <c r="B81" s="204"/>
      <c r="C81" s="204"/>
      <c r="D81" s="204"/>
    </row>
    <row r="82" spans="2:4" s="171" customFormat="1" x14ac:dyDescent="0.25">
      <c r="B82" s="204"/>
      <c r="C82" s="204"/>
      <c r="D82" s="204"/>
    </row>
    <row r="83" spans="2:4" s="171" customFormat="1" x14ac:dyDescent="0.25">
      <c r="B83" s="204"/>
      <c r="C83" s="204"/>
      <c r="D83" s="204"/>
    </row>
    <row r="84" spans="2:4" s="171" customFormat="1" x14ac:dyDescent="0.25">
      <c r="B84" s="204"/>
      <c r="C84" s="204"/>
      <c r="D84" s="204"/>
    </row>
    <row r="85" spans="2:4" s="171" customFormat="1" x14ac:dyDescent="0.25">
      <c r="B85" s="204"/>
      <c r="C85" s="204"/>
      <c r="D85" s="204"/>
    </row>
    <row r="86" spans="2:4" s="171" customFormat="1" x14ac:dyDescent="0.25">
      <c r="B86" s="204"/>
      <c r="C86" s="204"/>
      <c r="D86" s="204"/>
    </row>
    <row r="87" spans="2:4" s="171" customFormat="1" x14ac:dyDescent="0.25">
      <c r="B87" s="204"/>
      <c r="C87" s="204"/>
      <c r="D87" s="204"/>
    </row>
    <row r="88" spans="2:4" s="171" customFormat="1" x14ac:dyDescent="0.25">
      <c r="B88" s="204"/>
      <c r="C88" s="204"/>
      <c r="D88" s="204"/>
    </row>
    <row r="89" spans="2:4" s="171" customFormat="1" x14ac:dyDescent="0.25">
      <c r="B89" s="204"/>
      <c r="C89" s="204"/>
      <c r="D89" s="204"/>
    </row>
    <row r="90" spans="2:4" s="171" customFormat="1" x14ac:dyDescent="0.25">
      <c r="B90" s="204"/>
      <c r="C90" s="204"/>
      <c r="D90" s="204"/>
    </row>
    <row r="91" spans="2:4" s="171" customFormat="1" x14ac:dyDescent="0.25">
      <c r="B91" s="204"/>
      <c r="C91" s="204"/>
      <c r="D91" s="204"/>
    </row>
    <row r="92" spans="2:4" s="171" customFormat="1" x14ac:dyDescent="0.25">
      <c r="B92" s="204"/>
      <c r="C92" s="204"/>
      <c r="D92" s="204"/>
    </row>
    <row r="93" spans="2:4" s="171" customFormat="1" x14ac:dyDescent="0.25">
      <c r="B93" s="204"/>
      <c r="C93" s="204"/>
      <c r="D93" s="204"/>
    </row>
    <row r="94" spans="2:4" s="171" customFormat="1" x14ac:dyDescent="0.25">
      <c r="B94" s="204"/>
      <c r="C94" s="204"/>
      <c r="D94" s="204"/>
    </row>
    <row r="95" spans="2:4" s="171" customFormat="1" x14ac:dyDescent="0.25">
      <c r="B95" s="204"/>
      <c r="C95" s="204"/>
      <c r="D95" s="204"/>
    </row>
    <row r="96" spans="2:4" s="171" customFormat="1" x14ac:dyDescent="0.25">
      <c r="B96" s="204"/>
      <c r="C96" s="204"/>
      <c r="D96" s="204"/>
    </row>
    <row r="97" spans="2:4" s="171" customFormat="1" x14ac:dyDescent="0.25">
      <c r="B97" s="204"/>
      <c r="C97" s="204"/>
      <c r="D97" s="204"/>
    </row>
    <row r="98" spans="2:4" s="171" customFormat="1" x14ac:dyDescent="0.25">
      <c r="B98" s="204"/>
      <c r="C98" s="204"/>
      <c r="D98" s="204"/>
    </row>
    <row r="99" spans="2:4" s="171" customFormat="1" x14ac:dyDescent="0.25">
      <c r="B99" s="204"/>
      <c r="C99" s="204"/>
      <c r="D99" s="204"/>
    </row>
    <row r="100" spans="2:4" s="171" customFormat="1" x14ac:dyDescent="0.25">
      <c r="B100" s="204"/>
      <c r="C100" s="204"/>
      <c r="D100" s="204"/>
    </row>
    <row r="101" spans="2:4" s="171" customFormat="1" x14ac:dyDescent="0.25">
      <c r="B101" s="204"/>
      <c r="C101" s="204"/>
      <c r="D101" s="204"/>
    </row>
    <row r="102" spans="2:4" s="171" customFormat="1" x14ac:dyDescent="0.25">
      <c r="B102" s="204"/>
      <c r="C102" s="204"/>
      <c r="D102" s="204"/>
    </row>
    <row r="103" spans="2:4" s="171" customFormat="1" x14ac:dyDescent="0.25">
      <c r="B103" s="204"/>
      <c r="C103" s="204"/>
      <c r="D103" s="204"/>
    </row>
    <row r="104" spans="2:4" s="171" customFormat="1" x14ac:dyDescent="0.25">
      <c r="B104" s="204"/>
      <c r="C104" s="204"/>
      <c r="D104" s="204"/>
    </row>
    <row r="105" spans="2:4" s="171" customFormat="1" x14ac:dyDescent="0.25">
      <c r="B105" s="204"/>
      <c r="C105" s="204"/>
      <c r="D105" s="204"/>
    </row>
  </sheetData>
  <sheetProtection algorithmName="SHA-512" hashValue="/Bve5cnfLjuZMDokU14/58YHNRAVhDMcq4KoKHkz2K+b2VULPRpAf0SACoG1RvlDCrCXXNCtzGqKZeLBFH5n/g==" saltValue="b357njb0/exogJXPsCgDfA==" spinCount="100000" sheet="1" objects="1" scenarios="1"/>
  <dataValidations count="3">
    <dataValidation type="whole" allowBlank="1" showInputMessage="1" showErrorMessage="1" error="Summa saab olla ainult täisarv vahemikus 1-100" sqref="B9:G13" xr:uid="{00000000-0002-0000-0000-000000000000}">
      <formula1>1</formula1>
      <formula2>100</formula2>
    </dataValidation>
    <dataValidation type="list" allowBlank="1" showInputMessage="1" showErrorMessage="1" error="Sisestus ei ole õige" sqref="B26" xr:uid="{00000000-0002-0000-0000-000001000000}">
      <formula1>$A$40:$A$43</formula1>
    </dataValidation>
    <dataValidation type="list" allowBlank="1" showInputMessage="1" showErrorMessage="1" error="Sisestus ei ole õige" sqref="B19:B25" xr:uid="{00000000-0002-0000-0000-000003000000}">
      <formula1>$A$43:$A$45</formula1>
    </dataValidation>
  </dataValidations>
  <pageMargins left="0.75" right="0.75" top="0.98425196850393704" bottom="0.98425196850393704" header="0" footer="0"/>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Valik saab olla ainult &quot;jah&quot; või &quot;ei&quot;" promptTitle="Sisestada valikväärtus " xr:uid="{00000000-0002-0000-0000-000002000000}">
          <x14:formula1>
            <xm:f>Finantsvõimekus!$Z$6:$Z$7</xm:f>
          </x14:formula1>
          <xm:sqref>B8:G8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AF56"/>
  <sheetViews>
    <sheetView tabSelected="1" zoomScale="78" zoomScaleNormal="78" workbookViewId="0">
      <selection activeCell="E11" sqref="E11"/>
    </sheetView>
  </sheetViews>
  <sheetFormatPr defaultColWidth="9.1796875" defaultRowHeight="12.5" x14ac:dyDescent="0.25"/>
  <cols>
    <col min="1" max="1" width="4.453125" style="2" customWidth="1"/>
    <col min="2" max="2" width="15.453125" style="2" customWidth="1"/>
    <col min="3" max="3" width="15" style="2" customWidth="1"/>
    <col min="4" max="4" width="26.453125" style="3" customWidth="1"/>
    <col min="5" max="5" width="14.81640625" style="2" customWidth="1"/>
    <col min="6" max="6" width="10.54296875" style="2" bestFit="1" customWidth="1"/>
    <col min="7" max="10" width="10" style="2" customWidth="1"/>
    <col min="11" max="12" width="9.1796875" style="2"/>
    <col min="13" max="13" width="12.1796875" style="2" hidden="1" customWidth="1"/>
    <col min="14" max="14" width="9" style="2" hidden="1" customWidth="1"/>
    <col min="15" max="15" width="9.81640625" style="2" hidden="1" customWidth="1"/>
    <col min="16" max="16" width="10.453125" style="2" hidden="1" customWidth="1"/>
    <col min="17" max="18" width="9.54296875" style="2" hidden="1" customWidth="1"/>
    <col min="19" max="19" width="8.54296875" style="2" hidden="1" customWidth="1"/>
    <col min="20" max="20" width="11" style="2" hidden="1" customWidth="1"/>
    <col min="21" max="21" width="11.453125" style="2" hidden="1" customWidth="1"/>
    <col min="22" max="22" width="10.54296875" style="2" hidden="1" customWidth="1"/>
    <col min="23" max="23" width="10.453125" style="2" hidden="1" customWidth="1"/>
    <col min="24" max="24" width="10.1796875" style="2" hidden="1" customWidth="1"/>
    <col min="25" max="25" width="10" style="2" hidden="1" customWidth="1"/>
    <col min="26" max="26" width="6" style="2" hidden="1" customWidth="1"/>
    <col min="27" max="27" width="11.453125" style="2" hidden="1" customWidth="1"/>
    <col min="28" max="29" width="5" style="2" hidden="1" customWidth="1"/>
    <col min="30" max="32" width="9.1796875" style="2" hidden="1" customWidth="1"/>
    <col min="33" max="16384" width="9.1796875" style="2"/>
  </cols>
  <sheetData>
    <row r="1" spans="1:32" x14ac:dyDescent="0.25">
      <c r="E1" s="132"/>
      <c r="F1" s="121"/>
      <c r="G1" s="121"/>
      <c r="H1" s="121"/>
      <c r="I1" s="121"/>
      <c r="J1" s="121"/>
    </row>
    <row r="2" spans="1:32" ht="13.5" thickBot="1" x14ac:dyDescent="0.35">
      <c r="A2" s="133"/>
      <c r="B2" s="480"/>
      <c r="C2" s="481"/>
      <c r="D2" s="482"/>
      <c r="E2" s="134">
        <v>2024</v>
      </c>
      <c r="F2" s="135">
        <v>2025</v>
      </c>
      <c r="G2" s="136">
        <v>2026</v>
      </c>
      <c r="H2" s="136">
        <v>2027</v>
      </c>
      <c r="I2" s="136">
        <v>2028</v>
      </c>
      <c r="J2" s="137">
        <v>2029</v>
      </c>
      <c r="M2" s="342">
        <v>2024</v>
      </c>
      <c r="N2" s="35">
        <v>2025</v>
      </c>
      <c r="O2" s="35">
        <v>2026</v>
      </c>
      <c r="P2" s="35">
        <v>2027</v>
      </c>
      <c r="Q2" s="35">
        <v>2028</v>
      </c>
      <c r="R2" s="35">
        <v>2029</v>
      </c>
      <c r="T2" s="35">
        <v>2024</v>
      </c>
      <c r="U2" s="35">
        <v>2025</v>
      </c>
      <c r="V2" s="35">
        <v>2026</v>
      </c>
      <c r="W2" s="35">
        <v>2027</v>
      </c>
      <c r="X2" s="35">
        <v>2028</v>
      </c>
      <c r="Y2" s="35">
        <v>2029</v>
      </c>
      <c r="Z2" s="138"/>
      <c r="AA2" s="35">
        <v>2024</v>
      </c>
      <c r="AB2" s="35">
        <v>2025</v>
      </c>
      <c r="AC2" s="35">
        <v>2026</v>
      </c>
      <c r="AD2" s="35">
        <v>2027</v>
      </c>
      <c r="AE2" s="35">
        <v>2028</v>
      </c>
      <c r="AF2" s="35">
        <v>2029</v>
      </c>
    </row>
    <row r="3" spans="1:32" ht="13" x14ac:dyDescent="0.3">
      <c r="A3" s="103"/>
      <c r="B3" s="139" t="s">
        <v>120</v>
      </c>
      <c r="C3" s="103"/>
      <c r="D3" s="133"/>
      <c r="E3" s="328">
        <f t="shared" ref="E3:J3" si="0">E20+E24+E28+E32+E36+E40+E44+E48+E52+E56</f>
        <v>0</v>
      </c>
      <c r="F3" s="328">
        <f t="shared" si="0"/>
        <v>0</v>
      </c>
      <c r="G3" s="328">
        <f t="shared" si="0"/>
        <v>0</v>
      </c>
      <c r="H3" s="328">
        <f t="shared" si="0"/>
        <v>0</v>
      </c>
      <c r="I3" s="328">
        <f t="shared" si="0"/>
        <v>0</v>
      </c>
      <c r="J3" s="328">
        <f t="shared" si="0"/>
        <v>0</v>
      </c>
      <c r="M3" s="2">
        <f>IF($B20=9%,E20,0)</f>
        <v>0</v>
      </c>
      <c r="N3" s="2">
        <f>IF($B20=9%,F20,0)</f>
        <v>0</v>
      </c>
      <c r="O3" s="2">
        <f t="shared" ref="O3:R3" si="1">IF($B20=9%,G20,0)</f>
        <v>0</v>
      </c>
      <c r="P3" s="2">
        <f t="shared" si="1"/>
        <v>0</v>
      </c>
      <c r="Q3" s="2">
        <f t="shared" si="1"/>
        <v>0</v>
      </c>
      <c r="R3" s="2">
        <f t="shared" si="1"/>
        <v>0</v>
      </c>
      <c r="T3" s="2">
        <f>IF($B20=22%,E20,0)</f>
        <v>0</v>
      </c>
      <c r="U3" s="2">
        <f t="shared" ref="U3:Y3" si="2">IF($B20=22%,F20,0)</f>
        <v>0</v>
      </c>
      <c r="V3" s="2">
        <f t="shared" si="2"/>
        <v>0</v>
      </c>
      <c r="W3" s="2">
        <f t="shared" si="2"/>
        <v>0</v>
      </c>
      <c r="X3" s="2">
        <f t="shared" si="2"/>
        <v>0</v>
      </c>
      <c r="Y3" s="2">
        <f t="shared" si="2"/>
        <v>0</v>
      </c>
      <c r="AA3" s="2">
        <f>IF($B20=0%,E20,0)</f>
        <v>0</v>
      </c>
      <c r="AB3" s="2">
        <f t="shared" ref="AB3:AF3" si="3">IF($B20=0%,F20,0)</f>
        <v>0</v>
      </c>
      <c r="AC3" s="2">
        <f t="shared" si="3"/>
        <v>0</v>
      </c>
      <c r="AD3" s="2">
        <f t="shared" si="3"/>
        <v>0</v>
      </c>
      <c r="AE3" s="2">
        <f t="shared" si="3"/>
        <v>0</v>
      </c>
      <c r="AF3" s="2">
        <f t="shared" si="3"/>
        <v>0</v>
      </c>
    </row>
    <row r="4" spans="1:32" x14ac:dyDescent="0.25">
      <c r="A4" s="103"/>
      <c r="B4" s="103" t="s">
        <v>216</v>
      </c>
      <c r="C4" s="103"/>
      <c r="D4" s="133"/>
      <c r="E4" s="328">
        <f>ROUND(E17*E19+E21*E23+E25*E27+E29*E31+E33*E35+E37*E39+E41*E43+E45*E47+E49*E51+E53*E55,0)</f>
        <v>0</v>
      </c>
      <c r="F4" s="328">
        <f t="shared" ref="F4:J4" si="4">ROUND(F17*F19+F21*F23+F25*F27+F29*F31+F33*F35+F37*F39+F41*F43+F45*F47+F49*F51+F53*F55,0)</f>
        <v>0</v>
      </c>
      <c r="G4" s="328">
        <f t="shared" si="4"/>
        <v>0</v>
      </c>
      <c r="H4" s="328">
        <f t="shared" si="4"/>
        <v>0</v>
      </c>
      <c r="I4" s="328">
        <f t="shared" si="4"/>
        <v>0</v>
      </c>
      <c r="J4" s="328">
        <f t="shared" si="4"/>
        <v>0</v>
      </c>
      <c r="M4" s="2">
        <f>IF($B24=9%,E24,0)</f>
        <v>0</v>
      </c>
      <c r="N4" s="2">
        <f t="shared" ref="N4:R4" si="5">IF($B24=9%,F24,0)</f>
        <v>0</v>
      </c>
      <c r="O4" s="2">
        <f t="shared" si="5"/>
        <v>0</v>
      </c>
      <c r="P4" s="2">
        <f t="shared" si="5"/>
        <v>0</v>
      </c>
      <c r="Q4" s="2">
        <f t="shared" si="5"/>
        <v>0</v>
      </c>
      <c r="R4" s="2">
        <f t="shared" si="5"/>
        <v>0</v>
      </c>
      <c r="T4" s="2">
        <f>IF($B24=22%,E24,0)</f>
        <v>0</v>
      </c>
      <c r="U4" s="2">
        <f t="shared" ref="U4:Y4" si="6">IF($B24=22%,F24,0)</f>
        <v>0</v>
      </c>
      <c r="V4" s="2">
        <f t="shared" si="6"/>
        <v>0</v>
      </c>
      <c r="W4" s="2">
        <f t="shared" si="6"/>
        <v>0</v>
      </c>
      <c r="X4" s="2">
        <f t="shared" si="6"/>
        <v>0</v>
      </c>
      <c r="Y4" s="2">
        <f t="shared" si="6"/>
        <v>0</v>
      </c>
      <c r="AA4" s="2">
        <f>IF($B24=0%,E24,0)</f>
        <v>0</v>
      </c>
      <c r="AB4" s="2">
        <f t="shared" ref="AB4:AF4" si="7">IF($B24=0%,F24,0)</f>
        <v>0</v>
      </c>
      <c r="AC4" s="2">
        <f t="shared" si="7"/>
        <v>0</v>
      </c>
      <c r="AD4" s="2">
        <f t="shared" si="7"/>
        <v>0</v>
      </c>
      <c r="AE4" s="2">
        <f t="shared" si="7"/>
        <v>0</v>
      </c>
      <c r="AF4" s="2">
        <f t="shared" si="7"/>
        <v>0</v>
      </c>
    </row>
    <row r="5" spans="1:32" x14ac:dyDescent="0.25">
      <c r="A5" s="103"/>
      <c r="B5" s="103" t="s">
        <v>199</v>
      </c>
      <c r="C5" s="103"/>
      <c r="D5" s="133"/>
      <c r="E5" s="328">
        <f t="shared" ref="E5:J5" si="8">(ROUND(E17*E19*$C20+E21*E23*$C24+E25*E27*$C28+E29*E31*$C32+E33*E35*$C36+E37*E39*$C40+E41*E43*$C44+E45*E47*$C48+E49*E51*$C52+E53*E55*$C56,0))</f>
        <v>0</v>
      </c>
      <c r="F5" s="328">
        <f t="shared" si="8"/>
        <v>0</v>
      </c>
      <c r="G5" s="328">
        <f t="shared" si="8"/>
        <v>0</v>
      </c>
      <c r="H5" s="328">
        <f t="shared" si="8"/>
        <v>0</v>
      </c>
      <c r="I5" s="328">
        <f t="shared" si="8"/>
        <v>0</v>
      </c>
      <c r="J5" s="328">
        <f t="shared" si="8"/>
        <v>0</v>
      </c>
      <c r="M5" s="2">
        <f>IF($B28=9%,E28,0)</f>
        <v>0</v>
      </c>
      <c r="N5" s="2">
        <f t="shared" ref="N5:R5" si="9">IF($B28=9%,F28,0)</f>
        <v>0</v>
      </c>
      <c r="O5" s="2">
        <f t="shared" si="9"/>
        <v>0</v>
      </c>
      <c r="P5" s="2">
        <f t="shared" si="9"/>
        <v>0</v>
      </c>
      <c r="Q5" s="2">
        <f t="shared" si="9"/>
        <v>0</v>
      </c>
      <c r="R5" s="2">
        <f t="shared" si="9"/>
        <v>0</v>
      </c>
      <c r="T5" s="2">
        <f>IF($B28=22%,E28,0)</f>
        <v>0</v>
      </c>
      <c r="U5" s="2">
        <f t="shared" ref="U5:Y5" si="10">IF($B28=22%,F28,0)</f>
        <v>0</v>
      </c>
      <c r="V5" s="2">
        <f t="shared" si="10"/>
        <v>0</v>
      </c>
      <c r="W5" s="2">
        <f t="shared" si="10"/>
        <v>0</v>
      </c>
      <c r="X5" s="2">
        <f t="shared" si="10"/>
        <v>0</v>
      </c>
      <c r="Y5" s="2">
        <f t="shared" si="10"/>
        <v>0</v>
      </c>
      <c r="AA5" s="2">
        <f>IF($B28=0%,E28,0)</f>
        <v>0</v>
      </c>
      <c r="AB5" s="2">
        <f t="shared" ref="AB5:AF5" si="11">IF($B28=0%,F28,0)</f>
        <v>0</v>
      </c>
      <c r="AC5" s="2">
        <f t="shared" si="11"/>
        <v>0</v>
      </c>
      <c r="AD5" s="2">
        <f t="shared" si="11"/>
        <v>0</v>
      </c>
      <c r="AE5" s="2">
        <f t="shared" si="11"/>
        <v>0</v>
      </c>
      <c r="AF5" s="2">
        <f t="shared" si="11"/>
        <v>0</v>
      </c>
    </row>
    <row r="6" spans="1:32" ht="13" x14ac:dyDescent="0.3">
      <c r="A6" s="103"/>
      <c r="B6" s="139" t="s">
        <v>200</v>
      </c>
      <c r="C6" s="103"/>
      <c r="D6" s="133"/>
      <c r="E6" s="328">
        <f>E5</f>
        <v>0</v>
      </c>
      <c r="F6" s="328">
        <f t="shared" ref="F6:J6" si="12">F5</f>
        <v>0</v>
      </c>
      <c r="G6" s="328">
        <f t="shared" si="12"/>
        <v>0</v>
      </c>
      <c r="H6" s="328">
        <f t="shared" si="12"/>
        <v>0</v>
      </c>
      <c r="I6" s="328">
        <f t="shared" si="12"/>
        <v>0</v>
      </c>
      <c r="J6" s="328">
        <f t="shared" si="12"/>
        <v>0</v>
      </c>
      <c r="M6" s="2">
        <f>IF($B32=9%,E32,0)</f>
        <v>0</v>
      </c>
      <c r="N6" s="2">
        <f t="shared" ref="N6:R6" si="13">IF($B32=9%,F32,0)</f>
        <v>0</v>
      </c>
      <c r="O6" s="2">
        <f t="shared" si="13"/>
        <v>0</v>
      </c>
      <c r="P6" s="2">
        <f t="shared" si="13"/>
        <v>0</v>
      </c>
      <c r="Q6" s="2">
        <f t="shared" si="13"/>
        <v>0</v>
      </c>
      <c r="R6" s="2">
        <f t="shared" si="13"/>
        <v>0</v>
      </c>
      <c r="T6" s="2">
        <f>IF($B32=22%,E32,0)</f>
        <v>0</v>
      </c>
      <c r="U6" s="2">
        <f t="shared" ref="U6:Y6" si="14">IF($B32=22%,F32,0)</f>
        <v>0</v>
      </c>
      <c r="V6" s="2">
        <f t="shared" si="14"/>
        <v>0</v>
      </c>
      <c r="W6" s="2">
        <f t="shared" si="14"/>
        <v>0</v>
      </c>
      <c r="X6" s="2">
        <f t="shared" si="14"/>
        <v>0</v>
      </c>
      <c r="Y6" s="2">
        <f t="shared" si="14"/>
        <v>0</v>
      </c>
      <c r="AA6" s="2">
        <f>IF($B32=0%,E32,0)</f>
        <v>0</v>
      </c>
      <c r="AB6" s="2">
        <f t="shared" ref="AB6:AF6" si="15">IF($B32=0%,F32,0)</f>
        <v>0</v>
      </c>
      <c r="AC6" s="2">
        <f t="shared" si="15"/>
        <v>0</v>
      </c>
      <c r="AD6" s="2">
        <f t="shared" si="15"/>
        <v>0</v>
      </c>
      <c r="AE6" s="2">
        <f t="shared" si="15"/>
        <v>0</v>
      </c>
      <c r="AF6" s="2">
        <f t="shared" si="15"/>
        <v>0</v>
      </c>
    </row>
    <row r="7" spans="1:32" x14ac:dyDescent="0.25">
      <c r="A7" s="103"/>
      <c r="B7" s="103" t="s">
        <v>201</v>
      </c>
      <c r="C7" s="103"/>
      <c r="D7" s="133"/>
      <c r="E7" s="328">
        <f>E4+E5</f>
        <v>0</v>
      </c>
      <c r="F7" s="328">
        <f>F4-E6+F5</f>
        <v>0</v>
      </c>
      <c r="G7" s="328">
        <f t="shared" ref="G7:J7" si="16">G4-F6+G5</f>
        <v>0</v>
      </c>
      <c r="H7" s="328">
        <f t="shared" si="16"/>
        <v>0</v>
      </c>
      <c r="I7" s="328">
        <f t="shared" si="16"/>
        <v>0</v>
      </c>
      <c r="J7" s="328">
        <f t="shared" si="16"/>
        <v>0</v>
      </c>
      <c r="M7" s="2">
        <f>IF($B36=9%,E36,0)</f>
        <v>0</v>
      </c>
      <c r="N7" s="2">
        <f t="shared" ref="N7:R7" si="17">IF($B36=9%,F36,0)</f>
        <v>0</v>
      </c>
      <c r="O7" s="2">
        <f t="shared" si="17"/>
        <v>0</v>
      </c>
      <c r="P7" s="2">
        <f t="shared" si="17"/>
        <v>0</v>
      </c>
      <c r="Q7" s="2">
        <f t="shared" si="17"/>
        <v>0</v>
      </c>
      <c r="R7" s="2">
        <f t="shared" si="17"/>
        <v>0</v>
      </c>
      <c r="T7" s="2">
        <f>IF($B36=22%,E36,0)</f>
        <v>0</v>
      </c>
      <c r="U7" s="2">
        <f t="shared" ref="U7:Y7" si="18">IF($B36=22%,F36,0)</f>
        <v>0</v>
      </c>
      <c r="V7" s="2">
        <f t="shared" si="18"/>
        <v>0</v>
      </c>
      <c r="W7" s="2">
        <f t="shared" si="18"/>
        <v>0</v>
      </c>
      <c r="X7" s="2">
        <f t="shared" si="18"/>
        <v>0</v>
      </c>
      <c r="Y7" s="2">
        <f t="shared" si="18"/>
        <v>0</v>
      </c>
      <c r="AA7" s="2">
        <f>IF($B36=0%,E36,0)</f>
        <v>0</v>
      </c>
      <c r="AB7" s="2">
        <f t="shared" ref="AB7:AF7" si="19">IF($B36=0%,F36,0)</f>
        <v>0</v>
      </c>
      <c r="AC7" s="2">
        <f t="shared" si="19"/>
        <v>0</v>
      </c>
      <c r="AD7" s="2">
        <f t="shared" si="19"/>
        <v>0</v>
      </c>
      <c r="AE7" s="2">
        <f t="shared" si="19"/>
        <v>0</v>
      </c>
      <c r="AF7" s="2">
        <f t="shared" si="19"/>
        <v>0</v>
      </c>
    </row>
    <row r="8" spans="1:32" ht="13" x14ac:dyDescent="0.3">
      <c r="A8" s="103"/>
      <c r="B8" s="139" t="s">
        <v>3</v>
      </c>
      <c r="C8" s="103"/>
      <c r="D8" s="133"/>
      <c r="E8" s="329">
        <f>SUM(M3:M12)</f>
        <v>0</v>
      </c>
      <c r="F8" s="329">
        <f>SUM(N3:N17)</f>
        <v>0</v>
      </c>
      <c r="G8" s="329">
        <f>SUM(O3:O17)</f>
        <v>0</v>
      </c>
      <c r="H8" s="329">
        <f>SUM(P3:P17)</f>
        <v>0</v>
      </c>
      <c r="I8" s="329">
        <f>SUM(Q3:Q17)</f>
        <v>0</v>
      </c>
      <c r="J8" s="329">
        <f>SUM(R3:R17)</f>
        <v>0</v>
      </c>
      <c r="M8" s="2">
        <f>IF($B40=9%,E40,0)</f>
        <v>0</v>
      </c>
      <c r="N8" s="2">
        <f t="shared" ref="N8:R8" si="20">IF($B40=9%,F40,0)</f>
        <v>0</v>
      </c>
      <c r="O8" s="2">
        <f t="shared" si="20"/>
        <v>0</v>
      </c>
      <c r="P8" s="2">
        <f t="shared" si="20"/>
        <v>0</v>
      </c>
      <c r="Q8" s="2">
        <f t="shared" si="20"/>
        <v>0</v>
      </c>
      <c r="R8" s="2">
        <f t="shared" si="20"/>
        <v>0</v>
      </c>
      <c r="T8" s="2">
        <f>IF($B40=22%,E40,0)</f>
        <v>0</v>
      </c>
      <c r="U8" s="2">
        <f t="shared" ref="U8:Y8" si="21">IF($B40=22%,F40,0)</f>
        <v>0</v>
      </c>
      <c r="V8" s="2">
        <f t="shared" si="21"/>
        <v>0</v>
      </c>
      <c r="W8" s="2">
        <f t="shared" si="21"/>
        <v>0</v>
      </c>
      <c r="X8" s="2">
        <f t="shared" si="21"/>
        <v>0</v>
      </c>
      <c r="Y8" s="2">
        <f t="shared" si="21"/>
        <v>0</v>
      </c>
      <c r="AA8" s="2">
        <f>IF($B40=0%,E40,0)</f>
        <v>0</v>
      </c>
      <c r="AB8" s="2">
        <f t="shared" ref="AB8:AF8" si="22">IF($B40=0%,F40,0)</f>
        <v>0</v>
      </c>
      <c r="AC8" s="2">
        <f t="shared" si="22"/>
        <v>0</v>
      </c>
      <c r="AD8" s="2">
        <f t="shared" si="22"/>
        <v>0</v>
      </c>
      <c r="AE8" s="2">
        <f t="shared" si="22"/>
        <v>0</v>
      </c>
      <c r="AF8" s="2">
        <f t="shared" si="22"/>
        <v>0</v>
      </c>
    </row>
    <row r="9" spans="1:32" ht="13" x14ac:dyDescent="0.3">
      <c r="A9" s="53"/>
      <c r="B9" s="140" t="s">
        <v>355</v>
      </c>
      <c r="C9" s="53"/>
      <c r="D9" s="141"/>
      <c r="E9" s="330">
        <f>SUM(T3:T12)</f>
        <v>0</v>
      </c>
      <c r="F9" s="330">
        <f t="shared" ref="F9:J9" si="23">SUM(U3:U12)</f>
        <v>0</v>
      </c>
      <c r="G9" s="330">
        <f t="shared" si="23"/>
        <v>0</v>
      </c>
      <c r="H9" s="330">
        <f t="shared" si="23"/>
        <v>0</v>
      </c>
      <c r="I9" s="330">
        <f t="shared" si="23"/>
        <v>0</v>
      </c>
      <c r="J9" s="330">
        <f t="shared" si="23"/>
        <v>0</v>
      </c>
      <c r="M9" s="2">
        <f>IF($B44=9%,E44,0)</f>
        <v>0</v>
      </c>
      <c r="N9" s="2">
        <f t="shared" ref="N9:R9" si="24">IF($B44=9%,F44,0)</f>
        <v>0</v>
      </c>
      <c r="O9" s="2">
        <f t="shared" si="24"/>
        <v>0</v>
      </c>
      <c r="P9" s="2">
        <f t="shared" si="24"/>
        <v>0</v>
      </c>
      <c r="Q9" s="2">
        <f t="shared" si="24"/>
        <v>0</v>
      </c>
      <c r="R9" s="2">
        <f t="shared" si="24"/>
        <v>0</v>
      </c>
      <c r="T9" s="2">
        <f>IF($B44=22%,E44,0)</f>
        <v>0</v>
      </c>
      <c r="U9" s="2">
        <f t="shared" ref="U9:Y9" si="25">IF($B44=22%,F44,0)</f>
        <v>0</v>
      </c>
      <c r="V9" s="2">
        <f t="shared" si="25"/>
        <v>0</v>
      </c>
      <c r="W9" s="2">
        <f t="shared" si="25"/>
        <v>0</v>
      </c>
      <c r="X9" s="2">
        <f t="shared" si="25"/>
        <v>0</v>
      </c>
      <c r="Y9" s="2">
        <f t="shared" si="25"/>
        <v>0</v>
      </c>
      <c r="AA9" s="2">
        <f>IF($B44=0%,E44,0)</f>
        <v>0</v>
      </c>
      <c r="AB9" s="2">
        <f t="shared" ref="AB9:AF9" si="26">IF($B44=0%,F44,0)</f>
        <v>0</v>
      </c>
      <c r="AC9" s="2">
        <f t="shared" si="26"/>
        <v>0</v>
      </c>
      <c r="AD9" s="2">
        <f t="shared" si="26"/>
        <v>0</v>
      </c>
      <c r="AE9" s="2">
        <f t="shared" si="26"/>
        <v>0</v>
      </c>
      <c r="AF9" s="2">
        <f t="shared" si="26"/>
        <v>0</v>
      </c>
    </row>
    <row r="10" spans="1:32" ht="13" x14ac:dyDescent="0.3">
      <c r="A10" s="142"/>
      <c r="B10" s="143" t="s">
        <v>241</v>
      </c>
      <c r="C10" s="142"/>
      <c r="D10" s="144"/>
      <c r="E10" s="331">
        <f>SUM(AA3:AA12)</f>
        <v>0</v>
      </c>
      <c r="F10" s="331">
        <f t="shared" ref="F10:J10" si="27">SUM(AB3:AB12)</f>
        <v>0</v>
      </c>
      <c r="G10" s="331">
        <f t="shared" si="27"/>
        <v>0</v>
      </c>
      <c r="H10" s="331">
        <f t="shared" si="27"/>
        <v>0</v>
      </c>
      <c r="I10" s="331">
        <f t="shared" si="27"/>
        <v>0</v>
      </c>
      <c r="J10" s="331">
        <f t="shared" si="27"/>
        <v>0</v>
      </c>
      <c r="M10" s="2">
        <f>IF($B48=9%,E48,0)</f>
        <v>0</v>
      </c>
      <c r="N10" s="2">
        <f t="shared" ref="N10:R10" si="28">IF($B48=9%,F48,0)</f>
        <v>0</v>
      </c>
      <c r="O10" s="2">
        <f t="shared" si="28"/>
        <v>0</v>
      </c>
      <c r="P10" s="2">
        <f t="shared" si="28"/>
        <v>0</v>
      </c>
      <c r="Q10" s="2">
        <f t="shared" si="28"/>
        <v>0</v>
      </c>
      <c r="R10" s="2">
        <f t="shared" si="28"/>
        <v>0</v>
      </c>
      <c r="T10" s="2">
        <f>IF($B48=22%,E48,0)</f>
        <v>0</v>
      </c>
      <c r="U10" s="2">
        <f t="shared" ref="U10:Y10" si="29">IF($B48=22%,F48,0)</f>
        <v>0</v>
      </c>
      <c r="V10" s="2">
        <f t="shared" si="29"/>
        <v>0</v>
      </c>
      <c r="W10" s="2">
        <f t="shared" si="29"/>
        <v>0</v>
      </c>
      <c r="X10" s="2">
        <f t="shared" si="29"/>
        <v>0</v>
      </c>
      <c r="Y10" s="2">
        <f t="shared" si="29"/>
        <v>0</v>
      </c>
      <c r="AA10" s="2">
        <f>IF($B48=0%,E48,0)</f>
        <v>0</v>
      </c>
      <c r="AB10" s="2">
        <f t="shared" ref="AB10:AF10" si="30">IF($B48=0%,F48,0)</f>
        <v>0</v>
      </c>
      <c r="AC10" s="2">
        <f t="shared" si="30"/>
        <v>0</v>
      </c>
      <c r="AD10" s="2">
        <f t="shared" si="30"/>
        <v>0</v>
      </c>
      <c r="AE10" s="2">
        <f t="shared" si="30"/>
        <v>0</v>
      </c>
      <c r="AF10" s="2">
        <f t="shared" si="30"/>
        <v>0</v>
      </c>
    </row>
    <row r="11" spans="1:32" ht="13" x14ac:dyDescent="0.3">
      <c r="A11" s="142"/>
      <c r="B11" s="143" t="s">
        <v>285</v>
      </c>
      <c r="C11" s="142"/>
      <c r="D11" s="144"/>
      <c r="E11" s="331">
        <f>0.22*E9+0.09*E8</f>
        <v>0</v>
      </c>
      <c r="F11" s="331">
        <f>0.22*F9+0.09*F8</f>
        <v>0</v>
      </c>
      <c r="G11" s="331">
        <f>0.22*G9+0.09*G8</f>
        <v>0</v>
      </c>
      <c r="H11" s="331">
        <f>0.22*H9+0.09*H8</f>
        <v>0</v>
      </c>
      <c r="I11" s="331">
        <f>0.22*I9+0.09*I8</f>
        <v>0</v>
      </c>
      <c r="J11" s="331">
        <f>0.22*J9+0.09*J8</f>
        <v>0</v>
      </c>
      <c r="M11" s="2">
        <f>IF($B52=9%,E52,0)</f>
        <v>0</v>
      </c>
      <c r="N11" s="2">
        <f t="shared" ref="N11:R11" si="31">IF($B52=9%,F52,0)</f>
        <v>0</v>
      </c>
      <c r="O11" s="2">
        <f t="shared" si="31"/>
        <v>0</v>
      </c>
      <c r="P11" s="2">
        <f t="shared" si="31"/>
        <v>0</v>
      </c>
      <c r="Q11" s="2">
        <f t="shared" si="31"/>
        <v>0</v>
      </c>
      <c r="R11" s="2">
        <f t="shared" si="31"/>
        <v>0</v>
      </c>
      <c r="T11" s="2">
        <f>IF($B52=22%,E52,0)</f>
        <v>0</v>
      </c>
      <c r="U11" s="2">
        <f t="shared" ref="U11:Y11" si="32">IF($B52=22%,F52,0)</f>
        <v>0</v>
      </c>
      <c r="V11" s="2">
        <f t="shared" si="32"/>
        <v>0</v>
      </c>
      <c r="W11" s="2">
        <f t="shared" si="32"/>
        <v>0</v>
      </c>
      <c r="X11" s="2">
        <f t="shared" si="32"/>
        <v>0</v>
      </c>
      <c r="Y11" s="2">
        <f t="shared" si="32"/>
        <v>0</v>
      </c>
      <c r="AA11" s="2">
        <f>IF($B52=0%,E52,0)</f>
        <v>0</v>
      </c>
      <c r="AB11" s="2">
        <f t="shared" ref="AB11:AF11" si="33">IF($B52=0%,F52,0)</f>
        <v>0</v>
      </c>
      <c r="AC11" s="2">
        <f t="shared" si="33"/>
        <v>0</v>
      </c>
      <c r="AD11" s="2">
        <f t="shared" si="33"/>
        <v>0</v>
      </c>
      <c r="AE11" s="2">
        <f t="shared" si="33"/>
        <v>0</v>
      </c>
      <c r="AF11" s="2">
        <f t="shared" si="33"/>
        <v>0</v>
      </c>
    </row>
    <row r="12" spans="1:32" ht="13" x14ac:dyDescent="0.3">
      <c r="A12" s="142"/>
      <c r="B12" s="143"/>
      <c r="C12" s="142"/>
      <c r="D12" s="144"/>
      <c r="E12" s="145"/>
      <c r="F12" s="145"/>
      <c r="G12" s="145"/>
      <c r="H12" s="145"/>
      <c r="I12" s="145"/>
      <c r="J12" s="145"/>
      <c r="M12" s="2">
        <f>IF($B56=9%,E56,0)</f>
        <v>0</v>
      </c>
      <c r="N12" s="2">
        <f t="shared" ref="N12:R12" si="34">IF($B56=9%,F56,0)</f>
        <v>0</v>
      </c>
      <c r="O12" s="2">
        <f t="shared" si="34"/>
        <v>0</v>
      </c>
      <c r="P12" s="2">
        <f t="shared" si="34"/>
        <v>0</v>
      </c>
      <c r="Q12" s="2">
        <f t="shared" si="34"/>
        <v>0</v>
      </c>
      <c r="R12" s="2">
        <f t="shared" si="34"/>
        <v>0</v>
      </c>
      <c r="T12" s="2">
        <f>IF($B56=22%,E56,0)</f>
        <v>0</v>
      </c>
      <c r="U12" s="2">
        <f t="shared" ref="U12:Y12" si="35">IF($B56=22%,F56,0)</f>
        <v>0</v>
      </c>
      <c r="V12" s="2">
        <f t="shared" si="35"/>
        <v>0</v>
      </c>
      <c r="W12" s="2">
        <f t="shared" si="35"/>
        <v>0</v>
      </c>
      <c r="X12" s="2">
        <f t="shared" si="35"/>
        <v>0</v>
      </c>
      <c r="Y12" s="2">
        <f t="shared" si="35"/>
        <v>0</v>
      </c>
      <c r="AA12" s="2">
        <f>IF($B56=0%,E56,0)</f>
        <v>0</v>
      </c>
      <c r="AB12" s="2">
        <f t="shared" ref="AB12:AF12" si="36">IF($B56=0%,F56,0)</f>
        <v>0</v>
      </c>
      <c r="AC12" s="2">
        <f t="shared" si="36"/>
        <v>0</v>
      </c>
      <c r="AD12" s="2">
        <f t="shared" si="36"/>
        <v>0</v>
      </c>
      <c r="AE12" s="2">
        <f t="shared" si="36"/>
        <v>0</v>
      </c>
      <c r="AF12" s="2">
        <f t="shared" si="36"/>
        <v>0</v>
      </c>
    </row>
    <row r="13" spans="1:32" ht="13" x14ac:dyDescent="0.3">
      <c r="A13" s="142"/>
      <c r="B13" s="143"/>
      <c r="C13" s="142"/>
      <c r="D13" s="144"/>
      <c r="E13" s="145"/>
      <c r="F13" s="145"/>
      <c r="G13" s="145"/>
      <c r="H13" s="145"/>
      <c r="I13" s="145"/>
      <c r="J13" s="145"/>
      <c r="T13" s="13"/>
      <c r="U13" s="13"/>
      <c r="V13" s="13"/>
      <c r="W13" s="13"/>
      <c r="X13" s="13"/>
      <c r="Y13" s="13"/>
    </row>
    <row r="14" spans="1:32" ht="13.5" thickBot="1" x14ac:dyDescent="0.35">
      <c r="A14" s="142"/>
      <c r="B14" s="146" t="s">
        <v>235</v>
      </c>
      <c r="C14" s="142"/>
      <c r="D14" s="144"/>
      <c r="E14" s="147"/>
      <c r="F14" s="147"/>
      <c r="G14" s="147"/>
      <c r="H14" s="147"/>
      <c r="I14" s="147"/>
      <c r="J14" s="147"/>
      <c r="T14" s="13"/>
      <c r="U14" s="13"/>
      <c r="V14" s="13"/>
      <c r="W14" s="13"/>
      <c r="X14" s="13"/>
      <c r="Y14" s="13"/>
    </row>
    <row r="15" spans="1:32" ht="25" x14ac:dyDescent="0.25">
      <c r="A15" s="495" t="s">
        <v>236</v>
      </c>
      <c r="B15" s="489" t="s">
        <v>237</v>
      </c>
      <c r="C15" s="490"/>
      <c r="D15" s="493" t="s">
        <v>238</v>
      </c>
      <c r="E15" s="148" t="s">
        <v>233</v>
      </c>
      <c r="F15" s="149" t="s">
        <v>202</v>
      </c>
      <c r="G15" s="150" t="s">
        <v>21</v>
      </c>
      <c r="H15" s="150" t="s">
        <v>22</v>
      </c>
      <c r="I15" s="150" t="s">
        <v>203</v>
      </c>
      <c r="J15" s="151" t="s">
        <v>204</v>
      </c>
      <c r="T15" s="13"/>
      <c r="U15" s="13"/>
      <c r="V15" s="13"/>
      <c r="W15" s="13"/>
      <c r="X15" s="13"/>
      <c r="Y15" s="13"/>
    </row>
    <row r="16" spans="1:32" ht="13.5" customHeight="1" thickBot="1" x14ac:dyDescent="0.35">
      <c r="A16" s="496"/>
      <c r="B16" s="491"/>
      <c r="C16" s="492"/>
      <c r="D16" s="494"/>
      <c r="E16" s="134">
        <v>2024</v>
      </c>
      <c r="F16" s="135">
        <v>2025</v>
      </c>
      <c r="G16" s="136">
        <v>2026</v>
      </c>
      <c r="H16" s="136">
        <v>2027</v>
      </c>
      <c r="I16" s="136">
        <v>2028</v>
      </c>
      <c r="J16" s="137">
        <v>2029</v>
      </c>
      <c r="T16" s="13"/>
      <c r="U16" s="13"/>
      <c r="V16" s="13"/>
      <c r="W16" s="13"/>
      <c r="X16" s="13"/>
      <c r="Y16" s="13"/>
    </row>
    <row r="17" spans="1:25" ht="25" x14ac:dyDescent="0.25">
      <c r="A17" s="488">
        <v>0</v>
      </c>
      <c r="B17" s="486" t="s">
        <v>357</v>
      </c>
      <c r="C17" s="487"/>
      <c r="D17" s="152" t="s">
        <v>232</v>
      </c>
      <c r="E17" s="281"/>
      <c r="F17" s="281"/>
      <c r="G17" s="281"/>
      <c r="H17" s="281"/>
      <c r="I17" s="281"/>
      <c r="J17" s="281"/>
      <c r="T17" s="13"/>
      <c r="U17" s="13"/>
      <c r="V17" s="13"/>
      <c r="W17" s="13"/>
      <c r="X17" s="13"/>
      <c r="Y17" s="13"/>
    </row>
    <row r="18" spans="1:25" ht="13" x14ac:dyDescent="0.3">
      <c r="A18" s="475"/>
      <c r="B18" s="485"/>
      <c r="C18" s="485"/>
      <c r="D18" s="133" t="s">
        <v>4</v>
      </c>
      <c r="E18" s="282"/>
      <c r="F18" s="282"/>
      <c r="G18" s="282"/>
      <c r="H18" s="282"/>
      <c r="I18" s="282"/>
      <c r="J18" s="282"/>
      <c r="M18" s="26"/>
      <c r="N18" s="26"/>
      <c r="O18" s="26"/>
      <c r="P18" s="26"/>
      <c r="Q18" s="26"/>
      <c r="R18" s="26"/>
      <c r="T18" s="30"/>
      <c r="U18" s="30"/>
      <c r="V18" s="30"/>
      <c r="W18" s="30"/>
      <c r="X18" s="30"/>
      <c r="Y18" s="30"/>
    </row>
    <row r="19" spans="1:25" ht="37.5" x14ac:dyDescent="0.25">
      <c r="A19" s="475"/>
      <c r="B19" s="153" t="s">
        <v>234</v>
      </c>
      <c r="C19" s="153" t="s">
        <v>6</v>
      </c>
      <c r="D19" s="333" t="s">
        <v>7</v>
      </c>
      <c r="E19" s="332"/>
      <c r="F19" s="332"/>
      <c r="G19" s="332"/>
      <c r="H19" s="332"/>
      <c r="I19" s="332"/>
      <c r="J19" s="332"/>
      <c r="M19" s="13"/>
      <c r="N19" s="13"/>
      <c r="O19" s="13"/>
      <c r="P19" s="13"/>
      <c r="Q19" s="13"/>
      <c r="R19" s="13"/>
      <c r="S19" s="13"/>
      <c r="T19" s="13"/>
      <c r="U19" s="13"/>
      <c r="V19" s="13"/>
      <c r="W19" s="13"/>
      <c r="X19" s="13"/>
      <c r="Y19" s="13"/>
    </row>
    <row r="20" spans="1:25" ht="13" thickBot="1" x14ac:dyDescent="0.3">
      <c r="A20" s="476"/>
      <c r="B20" s="277">
        <v>0.22</v>
      </c>
      <c r="C20" s="277">
        <v>0.1</v>
      </c>
      <c r="D20" s="154" t="s">
        <v>8</v>
      </c>
      <c r="E20" s="155">
        <f t="shared" ref="E20:J20" si="37">E17*E18</f>
        <v>0</v>
      </c>
      <c r="F20" s="155">
        <f t="shared" si="37"/>
        <v>0</v>
      </c>
      <c r="G20" s="155">
        <f t="shared" si="37"/>
        <v>0</v>
      </c>
      <c r="H20" s="155">
        <f t="shared" si="37"/>
        <v>0</v>
      </c>
      <c r="I20" s="155">
        <f t="shared" si="37"/>
        <v>0</v>
      </c>
      <c r="J20" s="156">
        <f t="shared" si="37"/>
        <v>0</v>
      </c>
    </row>
    <row r="21" spans="1:25" ht="25.5" thickTop="1" x14ac:dyDescent="0.25">
      <c r="A21" s="474">
        <v>2</v>
      </c>
      <c r="B21" s="483" t="s">
        <v>357</v>
      </c>
      <c r="C21" s="484"/>
      <c r="D21" s="157" t="s">
        <v>232</v>
      </c>
      <c r="E21" s="285"/>
      <c r="F21" s="285"/>
      <c r="G21" s="285"/>
      <c r="H21" s="285"/>
      <c r="I21" s="285"/>
      <c r="J21" s="286"/>
    </row>
    <row r="22" spans="1:25" x14ac:dyDescent="0.25">
      <c r="A22" s="475"/>
      <c r="B22" s="485"/>
      <c r="C22" s="485"/>
      <c r="D22" s="133" t="s">
        <v>4</v>
      </c>
      <c r="E22" s="282"/>
      <c r="F22" s="283"/>
      <c r="G22" s="283"/>
      <c r="H22" s="283"/>
      <c r="I22" s="282"/>
      <c r="J22" s="284"/>
    </row>
    <row r="23" spans="1:25" ht="37.5" x14ac:dyDescent="0.25">
      <c r="A23" s="475"/>
      <c r="B23" s="153" t="s">
        <v>234</v>
      </c>
      <c r="C23" s="153" t="s">
        <v>6</v>
      </c>
      <c r="D23" s="133" t="s">
        <v>9</v>
      </c>
      <c r="E23" s="282"/>
      <c r="F23" s="283"/>
      <c r="G23" s="283"/>
      <c r="H23" s="283"/>
      <c r="I23" s="282"/>
      <c r="J23" s="284"/>
    </row>
    <row r="24" spans="1:25" ht="13" thickBot="1" x14ac:dyDescent="0.3">
      <c r="A24" s="476"/>
      <c r="B24" s="277">
        <v>0.09</v>
      </c>
      <c r="C24" s="277">
        <v>0</v>
      </c>
      <c r="D24" s="154" t="s">
        <v>10</v>
      </c>
      <c r="E24" s="155">
        <f t="shared" ref="E24:J24" si="38">E21*E22</f>
        <v>0</v>
      </c>
      <c r="F24" s="155">
        <f t="shared" si="38"/>
        <v>0</v>
      </c>
      <c r="G24" s="155">
        <f t="shared" si="38"/>
        <v>0</v>
      </c>
      <c r="H24" s="155">
        <f t="shared" si="38"/>
        <v>0</v>
      </c>
      <c r="I24" s="155">
        <f t="shared" si="38"/>
        <v>0</v>
      </c>
      <c r="J24" s="156">
        <f t="shared" si="38"/>
        <v>0</v>
      </c>
    </row>
    <row r="25" spans="1:25" ht="28.4" customHeight="1" thickTop="1" x14ac:dyDescent="0.25">
      <c r="A25" s="474">
        <v>3</v>
      </c>
      <c r="B25" s="483" t="s">
        <v>357</v>
      </c>
      <c r="C25" s="484"/>
      <c r="D25" s="158" t="s">
        <v>232</v>
      </c>
      <c r="E25" s="287"/>
      <c r="F25" s="287"/>
      <c r="G25" s="287"/>
      <c r="H25" s="287"/>
      <c r="I25" s="287"/>
      <c r="J25" s="288"/>
    </row>
    <row r="26" spans="1:25" x14ac:dyDescent="0.25">
      <c r="A26" s="475"/>
      <c r="B26" s="485"/>
      <c r="C26" s="485"/>
      <c r="D26" s="133" t="s">
        <v>4</v>
      </c>
      <c r="E26" s="282"/>
      <c r="F26" s="283"/>
      <c r="G26" s="283"/>
      <c r="H26" s="283"/>
      <c r="I26" s="282"/>
      <c r="J26" s="284"/>
    </row>
    <row r="27" spans="1:25" ht="37.5" x14ac:dyDescent="0.25">
      <c r="A27" s="475"/>
      <c r="B27" s="153" t="s">
        <v>234</v>
      </c>
      <c r="C27" s="153" t="s">
        <v>6</v>
      </c>
      <c r="D27" s="133" t="s">
        <v>9</v>
      </c>
      <c r="E27" s="282"/>
      <c r="F27" s="283"/>
      <c r="G27" s="283"/>
      <c r="H27" s="283"/>
      <c r="I27" s="282"/>
      <c r="J27" s="284"/>
    </row>
    <row r="28" spans="1:25" ht="13.5" thickBot="1" x14ac:dyDescent="0.35">
      <c r="A28" s="476"/>
      <c r="B28" s="278">
        <v>0</v>
      </c>
      <c r="C28" s="278"/>
      <c r="D28" s="154" t="s">
        <v>11</v>
      </c>
      <c r="E28" s="155">
        <f t="shared" ref="E28:J28" si="39">E25*E26</f>
        <v>0</v>
      </c>
      <c r="F28" s="155">
        <f t="shared" si="39"/>
        <v>0</v>
      </c>
      <c r="G28" s="155">
        <f t="shared" si="39"/>
        <v>0</v>
      </c>
      <c r="H28" s="155">
        <f t="shared" si="39"/>
        <v>0</v>
      </c>
      <c r="I28" s="155">
        <f t="shared" si="39"/>
        <v>0</v>
      </c>
      <c r="J28" s="156">
        <f t="shared" si="39"/>
        <v>0</v>
      </c>
      <c r="M28" s="26"/>
      <c r="N28" s="26"/>
      <c r="O28" s="26"/>
      <c r="P28" s="26"/>
      <c r="Q28" s="26"/>
      <c r="R28" s="26"/>
    </row>
    <row r="29" spans="1:25" ht="29.5" customHeight="1" thickTop="1" x14ac:dyDescent="0.25">
      <c r="A29" s="474">
        <v>4</v>
      </c>
      <c r="B29" s="477"/>
      <c r="C29" s="478"/>
      <c r="D29" s="157" t="s">
        <v>232</v>
      </c>
      <c r="E29" s="287"/>
      <c r="F29" s="287"/>
      <c r="G29" s="287"/>
      <c r="H29" s="287"/>
      <c r="I29" s="287"/>
      <c r="J29" s="288"/>
    </row>
    <row r="30" spans="1:25" x14ac:dyDescent="0.25">
      <c r="A30" s="475"/>
      <c r="B30" s="479"/>
      <c r="C30" s="479"/>
      <c r="D30" s="133" t="s">
        <v>4</v>
      </c>
      <c r="E30" s="282"/>
      <c r="F30" s="283"/>
      <c r="G30" s="283"/>
      <c r="H30" s="283"/>
      <c r="I30" s="282"/>
      <c r="J30" s="284"/>
    </row>
    <row r="31" spans="1:25" ht="37.5" x14ac:dyDescent="0.25">
      <c r="A31" s="475"/>
      <c r="B31" s="153" t="s">
        <v>234</v>
      </c>
      <c r="C31" s="153" t="s">
        <v>6</v>
      </c>
      <c r="D31" s="133" t="s">
        <v>12</v>
      </c>
      <c r="E31" s="282"/>
      <c r="F31" s="283"/>
      <c r="G31" s="283"/>
      <c r="H31" s="283"/>
      <c r="I31" s="282"/>
      <c r="J31" s="284"/>
    </row>
    <row r="32" spans="1:25" ht="13" thickBot="1" x14ac:dyDescent="0.3">
      <c r="A32" s="476"/>
      <c r="B32" s="278"/>
      <c r="C32" s="278"/>
      <c r="D32" s="154" t="s">
        <v>13</v>
      </c>
      <c r="E32" s="155">
        <f t="shared" ref="E32:J32" si="40">E29*E30</f>
        <v>0</v>
      </c>
      <c r="F32" s="155">
        <f t="shared" si="40"/>
        <v>0</v>
      </c>
      <c r="G32" s="155">
        <f t="shared" si="40"/>
        <v>0</v>
      </c>
      <c r="H32" s="155">
        <f t="shared" si="40"/>
        <v>0</v>
      </c>
      <c r="I32" s="155">
        <f t="shared" si="40"/>
        <v>0</v>
      </c>
      <c r="J32" s="156">
        <f t="shared" si="40"/>
        <v>0</v>
      </c>
    </row>
    <row r="33" spans="1:12" ht="26.5" customHeight="1" thickTop="1" x14ac:dyDescent="0.25">
      <c r="A33" s="474">
        <v>5</v>
      </c>
      <c r="B33" s="477"/>
      <c r="C33" s="478"/>
      <c r="D33" s="158" t="s">
        <v>232</v>
      </c>
      <c r="E33" s="287"/>
      <c r="F33" s="287"/>
      <c r="G33" s="287"/>
      <c r="H33" s="287"/>
      <c r="I33" s="287"/>
      <c r="J33" s="288"/>
      <c r="K33" s="138"/>
      <c r="L33" s="138"/>
    </row>
    <row r="34" spans="1:12" x14ac:dyDescent="0.25">
      <c r="A34" s="475"/>
      <c r="B34" s="479"/>
      <c r="C34" s="479"/>
      <c r="D34" s="133" t="s">
        <v>4</v>
      </c>
      <c r="E34" s="282"/>
      <c r="F34" s="283"/>
      <c r="G34" s="283"/>
      <c r="H34" s="283"/>
      <c r="I34" s="282"/>
      <c r="J34" s="284"/>
    </row>
    <row r="35" spans="1:12" ht="37.5" x14ac:dyDescent="0.25">
      <c r="A35" s="475"/>
      <c r="B35" s="153" t="s">
        <v>234</v>
      </c>
      <c r="C35" s="153" t="s">
        <v>6</v>
      </c>
      <c r="D35" s="133" t="s">
        <v>7</v>
      </c>
      <c r="E35" s="282"/>
      <c r="F35" s="283"/>
      <c r="G35" s="283"/>
      <c r="H35" s="283"/>
      <c r="I35" s="282"/>
      <c r="J35" s="284"/>
    </row>
    <row r="36" spans="1:12" ht="13" thickBot="1" x14ac:dyDescent="0.3">
      <c r="A36" s="476"/>
      <c r="B36" s="278"/>
      <c r="C36" s="278"/>
      <c r="D36" s="154" t="s">
        <v>14</v>
      </c>
      <c r="E36" s="155">
        <f t="shared" ref="E36:J36" si="41">E33*E34</f>
        <v>0</v>
      </c>
      <c r="F36" s="155">
        <f t="shared" si="41"/>
        <v>0</v>
      </c>
      <c r="G36" s="155">
        <f t="shared" si="41"/>
        <v>0</v>
      </c>
      <c r="H36" s="155">
        <f t="shared" si="41"/>
        <v>0</v>
      </c>
      <c r="I36" s="155">
        <f t="shared" si="41"/>
        <v>0</v>
      </c>
      <c r="J36" s="156">
        <f t="shared" si="41"/>
        <v>0</v>
      </c>
    </row>
    <row r="37" spans="1:12" ht="27" customHeight="1" thickTop="1" x14ac:dyDescent="0.25">
      <c r="A37" s="474">
        <v>6</v>
      </c>
      <c r="B37" s="477"/>
      <c r="C37" s="478"/>
      <c r="D37" s="158" t="s">
        <v>232</v>
      </c>
      <c r="E37" s="287"/>
      <c r="F37" s="287"/>
      <c r="G37" s="287"/>
      <c r="H37" s="287"/>
      <c r="I37" s="287"/>
      <c r="J37" s="288"/>
    </row>
    <row r="38" spans="1:12" x14ac:dyDescent="0.25">
      <c r="A38" s="475"/>
      <c r="B38" s="479"/>
      <c r="C38" s="479"/>
      <c r="D38" s="133" t="s">
        <v>4</v>
      </c>
      <c r="E38" s="282"/>
      <c r="F38" s="283"/>
      <c r="G38" s="283"/>
      <c r="H38" s="283"/>
      <c r="I38" s="282"/>
      <c r="J38" s="284"/>
    </row>
    <row r="39" spans="1:12" ht="37.5" x14ac:dyDescent="0.25">
      <c r="A39" s="475"/>
      <c r="B39" s="153" t="s">
        <v>5</v>
      </c>
      <c r="C39" s="153" t="s">
        <v>6</v>
      </c>
      <c r="D39" s="133" t="s">
        <v>9</v>
      </c>
      <c r="E39" s="282"/>
      <c r="F39" s="283"/>
      <c r="G39" s="283"/>
      <c r="H39" s="283"/>
      <c r="I39" s="282"/>
      <c r="J39" s="284"/>
    </row>
    <row r="40" spans="1:12" ht="13.5" thickBot="1" x14ac:dyDescent="0.35">
      <c r="A40" s="476"/>
      <c r="B40" s="279"/>
      <c r="C40" s="279"/>
      <c r="D40" s="154" t="s">
        <v>15</v>
      </c>
      <c r="E40" s="155">
        <f t="shared" ref="E40:J40" si="42">E37*E38</f>
        <v>0</v>
      </c>
      <c r="F40" s="155">
        <f t="shared" si="42"/>
        <v>0</v>
      </c>
      <c r="G40" s="155">
        <f t="shared" si="42"/>
        <v>0</v>
      </c>
      <c r="H40" s="155">
        <f t="shared" si="42"/>
        <v>0</v>
      </c>
      <c r="I40" s="155">
        <f t="shared" si="42"/>
        <v>0</v>
      </c>
      <c r="J40" s="156">
        <f t="shared" si="42"/>
        <v>0</v>
      </c>
    </row>
    <row r="41" spans="1:12" ht="25.5" thickTop="1" x14ac:dyDescent="0.25">
      <c r="A41" s="474">
        <v>7</v>
      </c>
      <c r="B41" s="477"/>
      <c r="C41" s="478"/>
      <c r="D41" s="158" t="s">
        <v>232</v>
      </c>
      <c r="E41" s="287"/>
      <c r="F41" s="287"/>
      <c r="G41" s="287"/>
      <c r="H41" s="287"/>
      <c r="I41" s="287"/>
      <c r="J41" s="288"/>
      <c r="K41" s="138"/>
      <c r="L41" s="138"/>
    </row>
    <row r="42" spans="1:12" x14ac:dyDescent="0.25">
      <c r="A42" s="475"/>
      <c r="B42" s="479"/>
      <c r="C42" s="479"/>
      <c r="D42" s="133" t="s">
        <v>4</v>
      </c>
      <c r="E42" s="282"/>
      <c r="F42" s="283"/>
      <c r="G42" s="283"/>
      <c r="H42" s="283"/>
      <c r="I42" s="282"/>
      <c r="J42" s="284"/>
    </row>
    <row r="43" spans="1:12" ht="37.5" x14ac:dyDescent="0.25">
      <c r="A43" s="475"/>
      <c r="B43" s="153" t="s">
        <v>5</v>
      </c>
      <c r="C43" s="153" t="s">
        <v>6</v>
      </c>
      <c r="D43" s="133" t="s">
        <v>7</v>
      </c>
      <c r="E43" s="282"/>
      <c r="F43" s="283"/>
      <c r="G43" s="283"/>
      <c r="H43" s="283"/>
      <c r="I43" s="282"/>
      <c r="J43" s="284"/>
    </row>
    <row r="44" spans="1:12" ht="13.5" thickBot="1" x14ac:dyDescent="0.35">
      <c r="A44" s="476"/>
      <c r="B44" s="280"/>
      <c r="C44" s="280"/>
      <c r="D44" s="154" t="s">
        <v>16</v>
      </c>
      <c r="E44" s="155">
        <f t="shared" ref="E44:J44" si="43">E41*E42</f>
        <v>0</v>
      </c>
      <c r="F44" s="155">
        <f t="shared" si="43"/>
        <v>0</v>
      </c>
      <c r="G44" s="155">
        <f t="shared" si="43"/>
        <v>0</v>
      </c>
      <c r="H44" s="155">
        <f t="shared" si="43"/>
        <v>0</v>
      </c>
      <c r="I44" s="155">
        <f t="shared" si="43"/>
        <v>0</v>
      </c>
      <c r="J44" s="156">
        <f t="shared" si="43"/>
        <v>0</v>
      </c>
    </row>
    <row r="45" spans="1:12" ht="30" customHeight="1" thickTop="1" x14ac:dyDescent="0.25">
      <c r="A45" s="474">
        <v>8</v>
      </c>
      <c r="B45" s="477"/>
      <c r="C45" s="478"/>
      <c r="D45" s="158" t="s">
        <v>232</v>
      </c>
      <c r="E45" s="287"/>
      <c r="F45" s="287"/>
      <c r="G45" s="287"/>
      <c r="H45" s="287"/>
      <c r="I45" s="287"/>
      <c r="J45" s="288"/>
    </row>
    <row r="46" spans="1:12" x14ac:dyDescent="0.25">
      <c r="A46" s="475"/>
      <c r="B46" s="479"/>
      <c r="C46" s="479"/>
      <c r="D46" s="133" t="s">
        <v>4</v>
      </c>
      <c r="E46" s="282"/>
      <c r="F46" s="283"/>
      <c r="G46" s="283"/>
      <c r="H46" s="283"/>
      <c r="I46" s="282"/>
      <c r="J46" s="284"/>
    </row>
    <row r="47" spans="1:12" ht="37.5" x14ac:dyDescent="0.25">
      <c r="A47" s="475"/>
      <c r="B47" s="153" t="s">
        <v>5</v>
      </c>
      <c r="C47" s="153" t="s">
        <v>6</v>
      </c>
      <c r="D47" s="133" t="s">
        <v>7</v>
      </c>
      <c r="E47" s="282"/>
      <c r="F47" s="283"/>
      <c r="G47" s="283"/>
      <c r="H47" s="283"/>
      <c r="I47" s="282"/>
      <c r="J47" s="284"/>
    </row>
    <row r="48" spans="1:12" ht="13.5" thickBot="1" x14ac:dyDescent="0.35">
      <c r="A48" s="476"/>
      <c r="B48" s="280"/>
      <c r="C48" s="280"/>
      <c r="D48" s="154" t="s">
        <v>17</v>
      </c>
      <c r="E48" s="155">
        <f t="shared" ref="E48:J48" si="44">E45*E46</f>
        <v>0</v>
      </c>
      <c r="F48" s="155">
        <f t="shared" si="44"/>
        <v>0</v>
      </c>
      <c r="G48" s="155">
        <f t="shared" si="44"/>
        <v>0</v>
      </c>
      <c r="H48" s="155">
        <f t="shared" si="44"/>
        <v>0</v>
      </c>
      <c r="I48" s="155">
        <f t="shared" si="44"/>
        <v>0</v>
      </c>
      <c r="J48" s="155">
        <f t="shared" si="44"/>
        <v>0</v>
      </c>
    </row>
    <row r="49" spans="1:10" ht="29.5" customHeight="1" thickTop="1" x14ac:dyDescent="0.25">
      <c r="A49" s="474">
        <v>9</v>
      </c>
      <c r="B49" s="477"/>
      <c r="C49" s="478"/>
      <c r="D49" s="158" t="s">
        <v>232</v>
      </c>
      <c r="E49" s="287"/>
      <c r="F49" s="287"/>
      <c r="G49" s="287"/>
      <c r="H49" s="287"/>
      <c r="I49" s="287"/>
      <c r="J49" s="288"/>
    </row>
    <row r="50" spans="1:10" x14ac:dyDescent="0.25">
      <c r="A50" s="475"/>
      <c r="B50" s="479"/>
      <c r="C50" s="479"/>
      <c r="D50" s="133" t="s">
        <v>4</v>
      </c>
      <c r="E50" s="282"/>
      <c r="F50" s="283"/>
      <c r="G50" s="283"/>
      <c r="H50" s="283"/>
      <c r="I50" s="282"/>
      <c r="J50" s="284"/>
    </row>
    <row r="51" spans="1:10" ht="37.5" x14ac:dyDescent="0.25">
      <c r="A51" s="475"/>
      <c r="B51" s="153" t="s">
        <v>5</v>
      </c>
      <c r="C51" s="153" t="s">
        <v>6</v>
      </c>
      <c r="D51" s="133" t="s">
        <v>7</v>
      </c>
      <c r="E51" s="282"/>
      <c r="F51" s="283"/>
      <c r="G51" s="283"/>
      <c r="H51" s="283"/>
      <c r="I51" s="282"/>
      <c r="J51" s="284"/>
    </row>
    <row r="52" spans="1:10" ht="13.5" thickBot="1" x14ac:dyDescent="0.35">
      <c r="A52" s="476"/>
      <c r="B52" s="280"/>
      <c r="C52" s="280"/>
      <c r="D52" s="154" t="s">
        <v>18</v>
      </c>
      <c r="E52" s="155">
        <f t="shared" ref="E52:J52" si="45">E49*E50</f>
        <v>0</v>
      </c>
      <c r="F52" s="155">
        <f t="shared" si="45"/>
        <v>0</v>
      </c>
      <c r="G52" s="155">
        <f t="shared" si="45"/>
        <v>0</v>
      </c>
      <c r="H52" s="155">
        <f t="shared" si="45"/>
        <v>0</v>
      </c>
      <c r="I52" s="155">
        <f t="shared" si="45"/>
        <v>0</v>
      </c>
      <c r="J52" s="156">
        <f t="shared" si="45"/>
        <v>0</v>
      </c>
    </row>
    <row r="53" spans="1:10" ht="25.5" thickTop="1" x14ac:dyDescent="0.25">
      <c r="A53" s="474">
        <v>10</v>
      </c>
      <c r="B53" s="477"/>
      <c r="C53" s="478"/>
      <c r="D53" s="158" t="s">
        <v>232</v>
      </c>
      <c r="E53" s="287"/>
      <c r="F53" s="287"/>
      <c r="G53" s="287"/>
      <c r="H53" s="287"/>
      <c r="I53" s="287"/>
      <c r="J53" s="288"/>
    </row>
    <row r="54" spans="1:10" x14ac:dyDescent="0.25">
      <c r="A54" s="475"/>
      <c r="B54" s="479"/>
      <c r="C54" s="479"/>
      <c r="D54" s="133" t="s">
        <v>4</v>
      </c>
      <c r="E54" s="282"/>
      <c r="F54" s="283"/>
      <c r="G54" s="283"/>
      <c r="H54" s="283"/>
      <c r="I54" s="282"/>
      <c r="J54" s="284"/>
    </row>
    <row r="55" spans="1:10" ht="37.5" x14ac:dyDescent="0.25">
      <c r="A55" s="475"/>
      <c r="B55" s="153" t="s">
        <v>5</v>
      </c>
      <c r="C55" s="153" t="s">
        <v>6</v>
      </c>
      <c r="D55" s="133" t="s">
        <v>7</v>
      </c>
      <c r="E55" s="282"/>
      <c r="F55" s="283"/>
      <c r="G55" s="283"/>
      <c r="H55" s="283"/>
      <c r="I55" s="282"/>
      <c r="J55" s="284"/>
    </row>
    <row r="56" spans="1:10" ht="13.5" thickBot="1" x14ac:dyDescent="0.35">
      <c r="A56" s="476"/>
      <c r="B56" s="280"/>
      <c r="C56" s="280"/>
      <c r="D56" s="154" t="s">
        <v>19</v>
      </c>
      <c r="E56" s="155">
        <f t="shared" ref="E56:J56" si="46">E53*E54</f>
        <v>0</v>
      </c>
      <c r="F56" s="155">
        <f t="shared" si="46"/>
        <v>0</v>
      </c>
      <c r="G56" s="155">
        <f t="shared" si="46"/>
        <v>0</v>
      </c>
      <c r="H56" s="155">
        <f t="shared" si="46"/>
        <v>0</v>
      </c>
      <c r="I56" s="155">
        <f t="shared" si="46"/>
        <v>0</v>
      </c>
      <c r="J56" s="156">
        <f t="shared" si="46"/>
        <v>0</v>
      </c>
    </row>
  </sheetData>
  <sheetProtection algorithmName="SHA-512" hashValue="89Dm7HdvBBt9r0A8MSuCFXuPKOAsCfOj/4O4FtTUUaeZ6w79Kv5Ig0EF9M0jUNj2clWXnlWQ/Pq02ox6X/M95g==" saltValue="rGJFC8/G0mB+TWRHJHFS6A==" spinCount="100000" sheet="1" objects="1" scenarios="1"/>
  <mergeCells count="24">
    <mergeCell ref="B2:D2"/>
    <mergeCell ref="B25:C26"/>
    <mergeCell ref="A21:A24"/>
    <mergeCell ref="A25:A28"/>
    <mergeCell ref="B17:C18"/>
    <mergeCell ref="B21:C22"/>
    <mergeCell ref="A17:A20"/>
    <mergeCell ref="B15:C16"/>
    <mergeCell ref="D15:D16"/>
    <mergeCell ref="A15:A16"/>
    <mergeCell ref="B29:C30"/>
    <mergeCell ref="A33:A36"/>
    <mergeCell ref="B33:C34"/>
    <mergeCell ref="A37:A40"/>
    <mergeCell ref="B37:C38"/>
    <mergeCell ref="A29:A32"/>
    <mergeCell ref="A53:A56"/>
    <mergeCell ref="B53:C54"/>
    <mergeCell ref="A41:A44"/>
    <mergeCell ref="B41:C42"/>
    <mergeCell ref="A45:A48"/>
    <mergeCell ref="B45:C46"/>
    <mergeCell ref="A49:A52"/>
    <mergeCell ref="B49:C50"/>
  </mergeCells>
  <pageMargins left="0.39370078740157477" right="0.19685039370078738" top="0.70866141732283472" bottom="0.51181102362204722" header="0" footer="0"/>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eht3">
    <outlinePr summaryBelow="0"/>
    <pageSetUpPr fitToPage="1"/>
  </sheetPr>
  <dimension ref="A1:MD112"/>
  <sheetViews>
    <sheetView zoomScale="85" zoomScaleNormal="85" workbookViewId="0">
      <pane xSplit="1" ySplit="6" topLeftCell="B73" activePane="bottomRight" state="frozen"/>
      <selection activeCell="L90" sqref="L90"/>
      <selection pane="topRight"/>
      <selection pane="bottomLeft"/>
      <selection pane="bottomRight" activeCell="C88" sqref="C88"/>
    </sheetView>
  </sheetViews>
  <sheetFormatPr defaultColWidth="9.1796875" defaultRowHeight="12.5" outlineLevelRow="1" x14ac:dyDescent="0.25"/>
  <cols>
    <col min="1" max="1" width="56.453125" style="5" customWidth="1"/>
    <col min="2" max="2" width="21.453125" style="121" customWidth="1"/>
    <col min="3" max="5" width="16.54296875" style="119" customWidth="1"/>
    <col min="6" max="6" width="14.1796875" style="119" bestFit="1" customWidth="1"/>
    <col min="7" max="7" width="14.453125" style="120" customWidth="1"/>
    <col min="8" max="8" width="14.81640625" style="5" customWidth="1"/>
    <col min="9" max="16384" width="9.1796875" style="5"/>
  </cols>
  <sheetData>
    <row r="1" spans="1:8" s="79" customFormat="1" ht="13" x14ac:dyDescent="0.3">
      <c r="A1" s="77" t="s">
        <v>20</v>
      </c>
      <c r="B1" s="159" t="s">
        <v>240</v>
      </c>
      <c r="C1" s="78" t="s">
        <v>202</v>
      </c>
      <c r="D1" s="78" t="s">
        <v>21</v>
      </c>
      <c r="E1" s="78" t="s">
        <v>22</v>
      </c>
      <c r="F1" s="78" t="s">
        <v>203</v>
      </c>
      <c r="G1" s="78" t="s">
        <v>204</v>
      </c>
    </row>
    <row r="2" spans="1:8" ht="13" x14ac:dyDescent="0.3">
      <c r="A2" s="80"/>
      <c r="B2" s="81">
        <v>2024</v>
      </c>
      <c r="C2" s="81">
        <v>2025</v>
      </c>
      <c r="D2" s="82">
        <v>2026</v>
      </c>
      <c r="E2" s="82">
        <v>2027</v>
      </c>
      <c r="F2" s="81">
        <v>2028</v>
      </c>
      <c r="G2" s="81">
        <v>2029</v>
      </c>
    </row>
    <row r="3" spans="1:8" s="86" customFormat="1" ht="13" x14ac:dyDescent="0.3">
      <c r="A3" s="83"/>
      <c r="B3" s="84"/>
      <c r="C3" s="84"/>
      <c r="D3" s="84"/>
      <c r="E3" s="84"/>
      <c r="F3" s="84"/>
      <c r="G3" s="85"/>
    </row>
    <row r="4" spans="1:8" ht="13" x14ac:dyDescent="0.3">
      <c r="A4" s="87" t="s">
        <v>24</v>
      </c>
      <c r="B4" s="441">
        <f>Bilanss!C6</f>
        <v>0</v>
      </c>
      <c r="C4" s="441">
        <f>B98</f>
        <v>0</v>
      </c>
      <c r="D4" s="441">
        <f>C98</f>
        <v>0</v>
      </c>
      <c r="E4" s="441">
        <f>D98</f>
        <v>0</v>
      </c>
      <c r="F4" s="441">
        <f>E98</f>
        <v>0</v>
      </c>
      <c r="G4" s="442">
        <f>F98</f>
        <v>0</v>
      </c>
      <c r="H4" s="316"/>
    </row>
    <row r="5" spans="1:8" ht="13" x14ac:dyDescent="0.3">
      <c r="A5" s="30"/>
      <c r="B5" s="443"/>
      <c r="C5" s="444"/>
      <c r="D5" s="444"/>
      <c r="E5" s="444"/>
      <c r="F5" s="444"/>
      <c r="G5" s="445"/>
      <c r="H5" s="316"/>
    </row>
    <row r="6" spans="1:8" s="89" customFormat="1" x14ac:dyDescent="0.25">
      <c r="A6" s="88"/>
      <c r="B6" s="446"/>
      <c r="C6" s="444"/>
      <c r="D6" s="444"/>
      <c r="E6" s="444"/>
      <c r="F6" s="444"/>
      <c r="G6" s="447"/>
      <c r="H6" s="448"/>
    </row>
    <row r="7" spans="1:8" s="90" customFormat="1" ht="13" x14ac:dyDescent="0.3">
      <c r="A7" s="56" t="s">
        <v>124</v>
      </c>
      <c r="B7" s="449">
        <f>Tooted!E3</f>
        <v>0</v>
      </c>
      <c r="C7" s="449">
        <f>Tooted!F3</f>
        <v>0</v>
      </c>
      <c r="D7" s="449">
        <f>Tooted!G3</f>
        <v>0</v>
      </c>
      <c r="E7" s="449">
        <f>Tooted!H3</f>
        <v>0</v>
      </c>
      <c r="F7" s="449">
        <f>Tooted!I3</f>
        <v>0</v>
      </c>
      <c r="G7" s="449">
        <f>Tooted!J3</f>
        <v>0</v>
      </c>
      <c r="H7" s="450"/>
    </row>
    <row r="8" spans="1:8" s="91" customFormat="1" ht="13" x14ac:dyDescent="0.3">
      <c r="A8" s="30" t="s">
        <v>245</v>
      </c>
      <c r="B8" s="451"/>
      <c r="C8" s="451"/>
      <c r="D8" s="451"/>
      <c r="E8" s="451"/>
      <c r="F8" s="451"/>
      <c r="G8" s="451"/>
      <c r="H8" s="452"/>
    </row>
    <row r="9" spans="1:8" s="91" customFormat="1" ht="13" x14ac:dyDescent="0.3">
      <c r="A9" s="92" t="s">
        <v>125</v>
      </c>
      <c r="B9" s="453">
        <f>B7-(B7*Algandmed!$B9/100)</f>
        <v>0</v>
      </c>
      <c r="C9" s="453">
        <f>C7-(C7*Algandmed!$C9/100)</f>
        <v>0</v>
      </c>
      <c r="D9" s="453">
        <f>D7-(D7*Algandmed!$D9/100)</f>
        <v>0</v>
      </c>
      <c r="E9" s="453">
        <f>E7-(E7*Algandmed!$E9/100)</f>
        <v>0</v>
      </c>
      <c r="F9" s="453">
        <f>F7-(F7*Algandmed!$F9/100)</f>
        <v>0</v>
      </c>
      <c r="G9" s="453">
        <f>G7-(G7*Algandmed!$G9/100)</f>
        <v>0</v>
      </c>
      <c r="H9" s="452"/>
    </row>
    <row r="10" spans="1:8" s="91" customFormat="1" ht="13" outlineLevel="1" x14ac:dyDescent="0.3">
      <c r="A10" s="93" t="s">
        <v>25</v>
      </c>
      <c r="B10" s="453">
        <f>Tooted!E10-Tooted!E10*Algandmed!B9/100</f>
        <v>0</v>
      </c>
      <c r="C10" s="453">
        <f>Tooted!F10-Tooted!F10*Algandmed!C9/100</f>
        <v>0</v>
      </c>
      <c r="D10" s="453">
        <f>Tooted!G10-Tooted!G10*Algandmed!D9/100</f>
        <v>0</v>
      </c>
      <c r="E10" s="453">
        <f>Tooted!H10-Tooted!H10*Algandmed!E9/100</f>
        <v>0</v>
      </c>
      <c r="F10" s="453">
        <f>Tooted!I10-Tooted!I10*Algandmed!F9/100</f>
        <v>0</v>
      </c>
      <c r="G10" s="453">
        <f>Tooted!J10-Tooted!J10*Algandmed!G9/100</f>
        <v>0</v>
      </c>
      <c r="H10" s="452"/>
    </row>
    <row r="11" spans="1:8" s="91" customFormat="1" ht="13" outlineLevel="1" x14ac:dyDescent="0.3">
      <c r="A11" s="93" t="s">
        <v>26</v>
      </c>
      <c r="B11" s="453">
        <f>Tooted!E8-Tooted!E8*Algandmed!B9/100</f>
        <v>0</v>
      </c>
      <c r="C11" s="453">
        <f>Tooted!F8-Tooted!F8*Algandmed!C9/100</f>
        <v>0</v>
      </c>
      <c r="D11" s="453">
        <f>Tooted!G8-Tooted!G8*Algandmed!D9/100</f>
        <v>0</v>
      </c>
      <c r="E11" s="453">
        <f>Tooted!H8-Tooted!H8*Algandmed!E9/100</f>
        <v>0</v>
      </c>
      <c r="F11" s="453">
        <f>Tooted!I8-Tooted!I8*Algandmed!F9/100</f>
        <v>0</v>
      </c>
      <c r="G11" s="453">
        <f>Tooted!J8-Tooted!J8*Algandmed!G9/100</f>
        <v>0</v>
      </c>
      <c r="H11" s="452"/>
    </row>
    <row r="12" spans="1:8" s="91" customFormat="1" ht="13" outlineLevel="1" x14ac:dyDescent="0.3">
      <c r="A12" s="93" t="s">
        <v>358</v>
      </c>
      <c r="B12" s="453">
        <f>Tooted!E9-Tooted!E9*Algandmed!B9/100</f>
        <v>0</v>
      </c>
      <c r="C12" s="453">
        <f>Tooted!F9-Tooted!F9*Algandmed!C9/100</f>
        <v>0</v>
      </c>
      <c r="D12" s="453">
        <f>Tooted!G9-Tooted!G9*Algandmed!D9/100</f>
        <v>0</v>
      </c>
      <c r="E12" s="453">
        <f>Tooted!H9-Tooted!H9*Algandmed!E9/100</f>
        <v>0</v>
      </c>
      <c r="F12" s="453">
        <f>Tooted!I9-Tooted!I9*Algandmed!F9/100</f>
        <v>0</v>
      </c>
      <c r="G12" s="453">
        <f>Tooted!J9-Tooted!J9*Algandmed!G9/100</f>
        <v>0</v>
      </c>
      <c r="H12" s="452"/>
    </row>
    <row r="13" spans="1:8" s="90" customFormat="1" x14ac:dyDescent="0.25">
      <c r="A13" s="92" t="s">
        <v>226</v>
      </c>
      <c r="B13" s="453">
        <f>IF(Algandmed!$B8="jah",ROUND(B12*0.22+B11*0.09,0),0)</f>
        <v>0</v>
      </c>
      <c r="C13" s="453">
        <f>IF(Algandmed!$B8="jah",ROUND(C12*0.22+C11*0.09,0),0)</f>
        <v>0</v>
      </c>
      <c r="D13" s="453">
        <f>IF(Algandmed!$B8="jah",ROUND(D12*0.22+D11*0.09,0),0)</f>
        <v>0</v>
      </c>
      <c r="E13" s="453">
        <f>IF(Algandmed!$B8="jah",ROUND(E12*0.22+E11*0.09,0),0)</f>
        <v>0</v>
      </c>
      <c r="F13" s="453">
        <f>IF(Algandmed!$B8="jah",ROUND(F12*0.22+F11*0.09,0),0)</f>
        <v>0</v>
      </c>
      <c r="G13" s="453">
        <f>IF(Algandmed!$B8="jah",ROUND(G12*0.22+G11*0.09,0),0)</f>
        <v>0</v>
      </c>
      <c r="H13" s="450"/>
    </row>
    <row r="14" spans="1:8" s="90" customFormat="1" ht="13" x14ac:dyDescent="0.3">
      <c r="A14" s="94" t="s">
        <v>242</v>
      </c>
      <c r="B14" s="453">
        <f>Bilanss!C9</f>
        <v>0</v>
      </c>
      <c r="C14" s="453">
        <f>Tooted!E9*1.22+Tooted!E8*1.09+Tooted!E10-B9-B13</f>
        <v>0</v>
      </c>
      <c r="D14" s="453">
        <f>Tooted!F9*1.22+Tooted!F8*1.09+Tooted!F10-C9-C13</f>
        <v>0</v>
      </c>
      <c r="E14" s="453">
        <f>Tooted!G9*1.22+Tooted!G8*1.09+Tooted!G10-D9-D13</f>
        <v>0</v>
      </c>
      <c r="F14" s="453">
        <f>Tooted!H9*1.22+Tooted!H8*1.09+Tooted!H10-E9-E13</f>
        <v>0</v>
      </c>
      <c r="G14" s="453">
        <f>Tooted!I9*1.22+Tooted!I8*1.09+Tooted!I10-F9-F13</f>
        <v>0</v>
      </c>
      <c r="H14" s="454">
        <f>Tooted!J9*1.22+Tooted!J8*1.09+Tooted!J10-G9-G13</f>
        <v>0</v>
      </c>
    </row>
    <row r="15" spans="1:8" s="90" customFormat="1" x14ac:dyDescent="0.25">
      <c r="A15" s="95" t="s">
        <v>178</v>
      </c>
      <c r="B15" s="312"/>
      <c r="C15" s="312"/>
      <c r="D15" s="312"/>
      <c r="E15" s="312"/>
      <c r="F15" s="312"/>
      <c r="G15" s="312"/>
      <c r="H15" s="450"/>
    </row>
    <row r="16" spans="1:8" s="90" customFormat="1" x14ac:dyDescent="0.25">
      <c r="A16" s="96" t="s">
        <v>244</v>
      </c>
      <c r="B16" s="312"/>
      <c r="C16" s="312"/>
      <c r="D16" s="312"/>
      <c r="E16" s="312"/>
      <c r="F16" s="312"/>
      <c r="G16" s="312"/>
      <c r="H16" s="450"/>
    </row>
    <row r="17" spans="1:8" s="90" customFormat="1" x14ac:dyDescent="0.25">
      <c r="A17" s="97" t="s">
        <v>126</v>
      </c>
      <c r="B17" s="312"/>
      <c r="C17" s="312"/>
      <c r="D17" s="312"/>
      <c r="E17" s="312"/>
      <c r="F17" s="312"/>
      <c r="G17" s="312"/>
      <c r="H17" s="450"/>
    </row>
    <row r="18" spans="1:8" s="90" customFormat="1" x14ac:dyDescent="0.25">
      <c r="A18" s="97" t="s">
        <v>127</v>
      </c>
      <c r="B18" s="312"/>
      <c r="C18" s="312"/>
      <c r="D18" s="312"/>
      <c r="E18" s="312"/>
      <c r="F18" s="312"/>
      <c r="G18" s="312"/>
      <c r="H18" s="450"/>
    </row>
    <row r="19" spans="1:8" s="90" customFormat="1" x14ac:dyDescent="0.25">
      <c r="A19" s="98" t="s">
        <v>247</v>
      </c>
      <c r="B19" s="312"/>
      <c r="C19" s="312"/>
      <c r="D19" s="312"/>
      <c r="E19" s="312"/>
      <c r="F19" s="312"/>
      <c r="G19" s="312"/>
      <c r="H19" s="450"/>
    </row>
    <row r="20" spans="1:8" s="90" customFormat="1" x14ac:dyDescent="0.25">
      <c r="A20" s="97" t="s">
        <v>243</v>
      </c>
      <c r="B20" s="312"/>
      <c r="C20" s="312"/>
      <c r="D20" s="312"/>
      <c r="E20" s="312"/>
      <c r="F20" s="312"/>
      <c r="G20" s="312"/>
      <c r="H20" s="450"/>
    </row>
    <row r="21" spans="1:8" s="90" customFormat="1" x14ac:dyDescent="0.25">
      <c r="A21" s="97" t="s">
        <v>292</v>
      </c>
      <c r="B21" s="312"/>
      <c r="C21" s="312"/>
      <c r="D21" s="312"/>
      <c r="E21" s="312"/>
      <c r="F21" s="312"/>
      <c r="G21" s="312"/>
      <c r="H21" s="450"/>
    </row>
    <row r="22" spans="1:8" s="90" customFormat="1" x14ac:dyDescent="0.25">
      <c r="A22" s="97" t="s">
        <v>293</v>
      </c>
      <c r="B22" s="312"/>
      <c r="C22" s="312"/>
      <c r="D22" s="312"/>
      <c r="E22" s="312"/>
      <c r="F22" s="312"/>
      <c r="G22" s="312"/>
      <c r="H22" s="450"/>
    </row>
    <row r="23" spans="1:8" s="90" customFormat="1" x14ac:dyDescent="0.25">
      <c r="A23" s="164" t="s">
        <v>283</v>
      </c>
      <c r="B23" s="313"/>
      <c r="C23" s="313"/>
      <c r="D23" s="313"/>
      <c r="E23" s="313"/>
      <c r="F23" s="313"/>
      <c r="G23" s="313"/>
      <c r="H23" s="450"/>
    </row>
    <row r="24" spans="1:8" s="90" customFormat="1" ht="13" x14ac:dyDescent="0.3">
      <c r="A24" s="334" t="s">
        <v>179</v>
      </c>
      <c r="B24" s="312"/>
      <c r="C24" s="312"/>
      <c r="D24" s="312"/>
      <c r="E24" s="312"/>
      <c r="F24" s="312"/>
      <c r="G24" s="312"/>
      <c r="H24" s="450"/>
    </row>
    <row r="25" spans="1:8" s="99" customFormat="1" ht="13" x14ac:dyDescent="0.3">
      <c r="A25" s="54" t="s">
        <v>94</v>
      </c>
      <c r="B25" s="455">
        <f>SUM(B9:B23)-SUM(B10:B12)</f>
        <v>0</v>
      </c>
      <c r="C25" s="455">
        <f t="shared" ref="C25:G25" si="0">SUM(C9:C23)-SUM(C10:C12)</f>
        <v>0</v>
      </c>
      <c r="D25" s="455">
        <f t="shared" si="0"/>
        <v>0</v>
      </c>
      <c r="E25" s="455">
        <f t="shared" si="0"/>
        <v>0</v>
      </c>
      <c r="F25" s="455">
        <f t="shared" si="0"/>
        <v>0</v>
      </c>
      <c r="G25" s="455">
        <f t="shared" si="0"/>
        <v>0</v>
      </c>
      <c r="H25" s="456"/>
    </row>
    <row r="26" spans="1:8" s="101" customFormat="1" ht="13" x14ac:dyDescent="0.3">
      <c r="A26" s="100"/>
      <c r="B26" s="457"/>
      <c r="C26" s="457"/>
      <c r="D26" s="457"/>
      <c r="E26" s="457"/>
      <c r="F26" s="457"/>
      <c r="G26" s="458"/>
      <c r="H26" s="459"/>
    </row>
    <row r="27" spans="1:8" ht="13" x14ac:dyDescent="0.3">
      <c r="A27" s="55" t="s">
        <v>246</v>
      </c>
      <c r="B27" s="460"/>
      <c r="C27" s="460"/>
      <c r="D27" s="460"/>
      <c r="E27" s="460"/>
      <c r="F27" s="460"/>
      <c r="G27" s="460"/>
      <c r="H27" s="316"/>
    </row>
    <row r="28" spans="1:8" ht="13" x14ac:dyDescent="0.3">
      <c r="A28" s="102" t="s">
        <v>91</v>
      </c>
      <c r="B28" s="461"/>
      <c r="C28" s="461"/>
      <c r="D28" s="461"/>
      <c r="E28" s="461"/>
      <c r="F28" s="461"/>
      <c r="G28" s="462"/>
      <c r="H28" s="316"/>
    </row>
    <row r="29" spans="1:8" x14ac:dyDescent="0.25">
      <c r="A29" s="166" t="s">
        <v>213</v>
      </c>
      <c r="B29" s="315"/>
      <c r="C29" s="315"/>
      <c r="D29" s="315"/>
      <c r="E29" s="315"/>
      <c r="F29" s="315"/>
      <c r="G29" s="315"/>
      <c r="H29" s="316"/>
    </row>
    <row r="30" spans="1:8" x14ac:dyDescent="0.25">
      <c r="A30" s="97" t="s">
        <v>248</v>
      </c>
      <c r="B30" s="312"/>
      <c r="C30" s="312"/>
      <c r="D30" s="312"/>
      <c r="E30" s="312"/>
      <c r="F30" s="312"/>
      <c r="G30" s="312"/>
      <c r="H30" s="316"/>
    </row>
    <row r="31" spans="1:8" x14ac:dyDescent="0.25">
      <c r="A31" s="97" t="s">
        <v>250</v>
      </c>
      <c r="B31" s="316"/>
      <c r="C31" s="316"/>
      <c r="D31" s="316"/>
      <c r="E31" s="316"/>
      <c r="F31" s="316"/>
      <c r="G31" s="316"/>
      <c r="H31" s="316"/>
    </row>
    <row r="32" spans="1:8" x14ac:dyDescent="0.25">
      <c r="A32" s="97" t="s">
        <v>287</v>
      </c>
      <c r="B32" s="312"/>
      <c r="C32" s="312"/>
      <c r="D32" s="312"/>
      <c r="E32" s="312"/>
      <c r="F32" s="312"/>
      <c r="G32" s="312"/>
      <c r="H32" s="316"/>
    </row>
    <row r="33" spans="1:8" x14ac:dyDescent="0.25">
      <c r="A33" s="103" t="s">
        <v>214</v>
      </c>
      <c r="B33" s="312"/>
      <c r="C33" s="312"/>
      <c r="D33" s="312"/>
      <c r="E33" s="312"/>
      <c r="F33" s="312"/>
      <c r="G33" s="312"/>
      <c r="H33" s="316"/>
    </row>
    <row r="34" spans="1:8" x14ac:dyDescent="0.25">
      <c r="A34" s="103" t="s">
        <v>251</v>
      </c>
      <c r="B34" s="312"/>
      <c r="C34" s="312"/>
      <c r="D34" s="312"/>
      <c r="E34" s="312"/>
      <c r="F34" s="312"/>
      <c r="G34" s="312"/>
      <c r="H34" s="316"/>
    </row>
    <row r="35" spans="1:8" ht="13" x14ac:dyDescent="0.3">
      <c r="A35" s="26" t="s">
        <v>87</v>
      </c>
      <c r="B35" s="317"/>
      <c r="C35" s="317"/>
      <c r="D35" s="317"/>
      <c r="E35" s="317"/>
      <c r="F35" s="317"/>
      <c r="G35" s="317"/>
      <c r="H35" s="316"/>
    </row>
    <row r="36" spans="1:8" x14ac:dyDescent="0.25">
      <c r="A36" s="104" t="s">
        <v>88</v>
      </c>
      <c r="B36" s="317"/>
      <c r="C36" s="317"/>
      <c r="D36" s="317"/>
      <c r="E36" s="317"/>
      <c r="F36" s="317"/>
      <c r="G36" s="317"/>
      <c r="H36" s="316"/>
    </row>
    <row r="37" spans="1:8" x14ac:dyDescent="0.25">
      <c r="A37" s="103" t="s">
        <v>215</v>
      </c>
      <c r="B37" s="317"/>
      <c r="C37" s="317"/>
      <c r="D37" s="317"/>
      <c r="E37" s="317"/>
      <c r="F37" s="317"/>
      <c r="G37" s="317"/>
      <c r="H37" s="316"/>
    </row>
    <row r="38" spans="1:8" x14ac:dyDescent="0.25">
      <c r="A38" s="104" t="s">
        <v>89</v>
      </c>
      <c r="B38" s="317"/>
      <c r="C38" s="317"/>
      <c r="D38" s="317"/>
      <c r="E38" s="317"/>
      <c r="F38" s="317"/>
      <c r="G38" s="317"/>
      <c r="H38" s="316"/>
    </row>
    <row r="39" spans="1:8" x14ac:dyDescent="0.25">
      <c r="A39" s="103" t="s">
        <v>249</v>
      </c>
      <c r="B39" s="339"/>
      <c r="C39" s="339"/>
      <c r="D39" s="339"/>
      <c r="E39" s="339"/>
      <c r="F39" s="339"/>
      <c r="G39" s="339"/>
      <c r="H39" s="316"/>
    </row>
    <row r="40" spans="1:8" ht="13" x14ac:dyDescent="0.3">
      <c r="A40" s="105" t="s">
        <v>276</v>
      </c>
      <c r="B40" s="325">
        <f>B41+B42+B44+B46</f>
        <v>0</v>
      </c>
      <c r="C40" s="325">
        <f t="shared" ref="C40:G40" si="1">C41+C42+C44+C46</f>
        <v>0</v>
      </c>
      <c r="D40" s="325">
        <f t="shared" si="1"/>
        <v>0</v>
      </c>
      <c r="E40" s="325">
        <f t="shared" si="1"/>
        <v>0</v>
      </c>
      <c r="F40" s="325">
        <f t="shared" si="1"/>
        <v>0</v>
      </c>
      <c r="G40" s="325">
        <f t="shared" si="1"/>
        <v>0</v>
      </c>
      <c r="H40" s="316"/>
    </row>
    <row r="41" spans="1:8" x14ac:dyDescent="0.25">
      <c r="A41" s="95" t="s">
        <v>272</v>
      </c>
      <c r="B41" s="312"/>
      <c r="C41" s="312"/>
      <c r="D41" s="313"/>
      <c r="E41" s="313"/>
      <c r="F41" s="312"/>
      <c r="G41" s="312"/>
      <c r="H41" s="316"/>
    </row>
    <row r="42" spans="1:8" x14ac:dyDescent="0.25">
      <c r="A42" s="98" t="s">
        <v>273</v>
      </c>
      <c r="B42" s="312"/>
      <c r="C42" s="312"/>
      <c r="D42" s="313"/>
      <c r="E42" s="313"/>
      <c r="F42" s="312"/>
      <c r="G42" s="312"/>
      <c r="H42" s="316"/>
    </row>
    <row r="43" spans="1:8" x14ac:dyDescent="0.25">
      <c r="A43" s="106" t="s">
        <v>252</v>
      </c>
      <c r="B43" s="313"/>
      <c r="C43" s="313"/>
      <c r="D43" s="313"/>
      <c r="E43" s="313"/>
      <c r="F43" s="313"/>
      <c r="G43" s="313"/>
      <c r="H43" s="316"/>
    </row>
    <row r="44" spans="1:8" x14ac:dyDescent="0.25">
      <c r="A44" s="104" t="s">
        <v>104</v>
      </c>
      <c r="B44" s="312"/>
      <c r="C44" s="312"/>
      <c r="D44" s="313"/>
      <c r="E44" s="313"/>
      <c r="F44" s="312"/>
      <c r="G44" s="312"/>
      <c r="H44" s="316"/>
    </row>
    <row r="45" spans="1:8" x14ac:dyDescent="0.25">
      <c r="A45" s="43" t="s">
        <v>253</v>
      </c>
      <c r="B45" s="313"/>
      <c r="C45" s="313"/>
      <c r="D45" s="313"/>
      <c r="E45" s="313"/>
      <c r="F45" s="313"/>
      <c r="G45" s="313"/>
      <c r="H45" s="316"/>
    </row>
    <row r="46" spans="1:8" x14ac:dyDescent="0.25">
      <c r="A46" s="107" t="s">
        <v>227</v>
      </c>
      <c r="B46" s="312"/>
      <c r="C46" s="312"/>
      <c r="D46" s="312"/>
      <c r="E46" s="312"/>
      <c r="F46" s="312"/>
      <c r="G46" s="312"/>
      <c r="H46" s="316"/>
    </row>
    <row r="47" spans="1:8" x14ac:dyDescent="0.25">
      <c r="A47" s="108" t="s">
        <v>254</v>
      </c>
      <c r="B47" s="313"/>
      <c r="C47" s="313"/>
      <c r="D47" s="313"/>
      <c r="E47" s="313"/>
      <c r="F47" s="313"/>
      <c r="G47" s="313"/>
      <c r="H47" s="316"/>
    </row>
    <row r="48" spans="1:8" ht="25.5" x14ac:dyDescent="0.3">
      <c r="A48" s="109" t="s">
        <v>271</v>
      </c>
      <c r="B48" s="319"/>
      <c r="C48" s="320"/>
      <c r="D48" s="321"/>
      <c r="E48" s="321"/>
      <c r="F48" s="320"/>
      <c r="G48" s="320"/>
      <c r="H48" s="316"/>
    </row>
    <row r="49" spans="1:8" x14ac:dyDescent="0.25">
      <c r="A49" s="110" t="s">
        <v>252</v>
      </c>
      <c r="B49" s="318"/>
      <c r="C49" s="318"/>
      <c r="D49" s="318"/>
      <c r="E49" s="318"/>
      <c r="F49" s="318"/>
      <c r="G49" s="318"/>
      <c r="H49" s="316"/>
    </row>
    <row r="50" spans="1:8" ht="13" x14ac:dyDescent="0.3">
      <c r="A50" s="111"/>
      <c r="B50" s="322"/>
      <c r="C50" s="322"/>
      <c r="D50" s="322"/>
      <c r="E50" s="322"/>
      <c r="F50" s="322"/>
      <c r="G50" s="322"/>
      <c r="H50" s="316"/>
    </row>
    <row r="51" spans="1:8" ht="13" x14ac:dyDescent="0.3">
      <c r="A51" s="111" t="s">
        <v>255</v>
      </c>
      <c r="B51" s="322"/>
      <c r="C51" s="322"/>
      <c r="D51" s="322"/>
      <c r="E51" s="322"/>
      <c r="F51" s="322"/>
      <c r="G51" s="322"/>
      <c r="H51" s="316"/>
    </row>
    <row r="52" spans="1:8" ht="13" x14ac:dyDescent="0.3">
      <c r="A52" s="87" t="s">
        <v>278</v>
      </c>
      <c r="B52" s="463">
        <f>Tooted!E7</f>
        <v>0</v>
      </c>
      <c r="C52" s="463">
        <f>Tooted!F7</f>
        <v>0</v>
      </c>
      <c r="D52" s="463">
        <f>Tooted!G7</f>
        <v>0</v>
      </c>
      <c r="E52" s="463">
        <f>Tooted!H7</f>
        <v>0</v>
      </c>
      <c r="F52" s="463">
        <f>Tooted!I7</f>
        <v>0</v>
      </c>
      <c r="G52" s="463">
        <f>Tooted!J7</f>
        <v>0</v>
      </c>
      <c r="H52" s="316"/>
    </row>
    <row r="53" spans="1:8" ht="13" x14ac:dyDescent="0.3">
      <c r="A53" s="59" t="s">
        <v>122</v>
      </c>
      <c r="B53" s="464">
        <f t="shared" ref="B53:G53" si="2">SUM(B54:B60)</f>
        <v>0</v>
      </c>
      <c r="C53" s="464">
        <f t="shared" si="2"/>
        <v>0</v>
      </c>
      <c r="D53" s="464">
        <f t="shared" si="2"/>
        <v>0</v>
      </c>
      <c r="E53" s="464">
        <f t="shared" si="2"/>
        <v>0</v>
      </c>
      <c r="F53" s="464">
        <f t="shared" si="2"/>
        <v>0</v>
      </c>
      <c r="G53" s="464">
        <f t="shared" si="2"/>
        <v>0</v>
      </c>
      <c r="H53" s="316"/>
    </row>
    <row r="54" spans="1:8" outlineLevel="1" x14ac:dyDescent="0.25">
      <c r="A54" s="8" t="s">
        <v>31</v>
      </c>
      <c r="B54" s="335"/>
      <c r="C54" s="335"/>
      <c r="D54" s="336"/>
      <c r="E54" s="336"/>
      <c r="F54" s="335"/>
      <c r="G54" s="335"/>
      <c r="H54" s="316"/>
    </row>
    <row r="55" spans="1:8" outlineLevel="1" x14ac:dyDescent="0.25">
      <c r="A55" s="8" t="s">
        <v>32</v>
      </c>
      <c r="B55" s="335"/>
      <c r="C55" s="335"/>
      <c r="D55" s="335"/>
      <c r="E55" s="335"/>
      <c r="F55" s="335"/>
      <c r="G55" s="335"/>
      <c r="H55" s="316"/>
    </row>
    <row r="56" spans="1:8" outlineLevel="1" x14ac:dyDescent="0.25">
      <c r="A56" s="8" t="s">
        <v>33</v>
      </c>
      <c r="B56" s="335"/>
      <c r="C56" s="335"/>
      <c r="D56" s="335"/>
      <c r="E56" s="335"/>
      <c r="F56" s="335"/>
      <c r="G56" s="335"/>
      <c r="H56" s="316"/>
    </row>
    <row r="57" spans="1:8" outlineLevel="1" x14ac:dyDescent="0.25">
      <c r="A57" s="8" t="s">
        <v>34</v>
      </c>
      <c r="B57" s="335"/>
      <c r="C57" s="335"/>
      <c r="D57" s="335"/>
      <c r="E57" s="335"/>
      <c r="F57" s="335"/>
      <c r="G57" s="335"/>
      <c r="H57" s="316"/>
    </row>
    <row r="58" spans="1:8" outlineLevel="1" x14ac:dyDescent="0.25">
      <c r="A58" s="8" t="s">
        <v>121</v>
      </c>
      <c r="B58" s="335"/>
      <c r="C58" s="335"/>
      <c r="D58" s="335"/>
      <c r="E58" s="335"/>
      <c r="F58" s="335"/>
      <c r="G58" s="335"/>
      <c r="H58" s="316"/>
    </row>
    <row r="59" spans="1:8" outlineLevel="1" x14ac:dyDescent="0.25">
      <c r="A59" s="267" t="s">
        <v>351</v>
      </c>
      <c r="B59" s="335"/>
      <c r="C59" s="337"/>
      <c r="D59" s="336"/>
      <c r="E59" s="336"/>
      <c r="F59" s="337"/>
      <c r="G59" s="337"/>
      <c r="H59" s="316"/>
    </row>
    <row r="60" spans="1:8" outlineLevel="1" x14ac:dyDescent="0.25">
      <c r="A60" s="267" t="s">
        <v>351</v>
      </c>
      <c r="B60" s="335"/>
      <c r="C60" s="335"/>
      <c r="D60" s="336"/>
      <c r="E60" s="336"/>
      <c r="F60" s="335"/>
      <c r="G60" s="335"/>
      <c r="H60" s="316"/>
    </row>
    <row r="61" spans="1:8" ht="13" x14ac:dyDescent="0.3">
      <c r="A61" s="59" t="s">
        <v>35</v>
      </c>
      <c r="B61" s="465">
        <f t="shared" ref="B61:G61" si="3">SUM(B62:B65)</f>
        <v>0</v>
      </c>
      <c r="C61" s="465">
        <f t="shared" si="3"/>
        <v>0</v>
      </c>
      <c r="D61" s="465">
        <f t="shared" si="3"/>
        <v>0</v>
      </c>
      <c r="E61" s="465">
        <f t="shared" si="3"/>
        <v>0</v>
      </c>
      <c r="F61" s="465">
        <f t="shared" si="3"/>
        <v>0</v>
      </c>
      <c r="G61" s="465">
        <f t="shared" si="3"/>
        <v>0</v>
      </c>
      <c r="H61" s="316"/>
    </row>
    <row r="62" spans="1:8" outlineLevel="1" x14ac:dyDescent="0.25">
      <c r="A62" s="8" t="s">
        <v>36</v>
      </c>
      <c r="B62" s="335"/>
      <c r="C62" s="335"/>
      <c r="D62" s="335"/>
      <c r="E62" s="335"/>
      <c r="F62" s="335"/>
      <c r="G62" s="335"/>
      <c r="H62" s="316"/>
    </row>
    <row r="63" spans="1:8" outlineLevel="1" x14ac:dyDescent="0.25">
      <c r="A63" s="8" t="s">
        <v>98</v>
      </c>
      <c r="B63" s="335"/>
      <c r="C63" s="335"/>
      <c r="D63" s="335"/>
      <c r="E63" s="335"/>
      <c r="F63" s="335"/>
      <c r="G63" s="335"/>
      <c r="H63" s="316"/>
    </row>
    <row r="64" spans="1:8" ht="13" outlineLevel="1" x14ac:dyDescent="0.3">
      <c r="A64" s="323" t="s">
        <v>173</v>
      </c>
      <c r="B64" s="335"/>
      <c r="C64" s="337"/>
      <c r="D64" s="336"/>
      <c r="E64" s="336"/>
      <c r="F64" s="337"/>
      <c r="G64" s="337"/>
      <c r="H64" s="316"/>
    </row>
    <row r="65" spans="1:278" ht="13" outlineLevel="1" x14ac:dyDescent="0.3">
      <c r="A65" s="324" t="s">
        <v>173</v>
      </c>
      <c r="B65" s="335"/>
      <c r="C65" s="335"/>
      <c r="D65" s="336"/>
      <c r="E65" s="336"/>
      <c r="F65" s="335"/>
      <c r="G65" s="335"/>
      <c r="H65" s="316"/>
    </row>
    <row r="66" spans="1:278" ht="13" x14ac:dyDescent="0.3">
      <c r="A66" s="59" t="s">
        <v>37</v>
      </c>
      <c r="B66" s="465">
        <f t="shared" ref="B66:G66" si="4">SUM(B67:B70)</f>
        <v>0</v>
      </c>
      <c r="C66" s="465">
        <f>SUM(C67:C70)</f>
        <v>0</v>
      </c>
      <c r="D66" s="465">
        <f t="shared" si="4"/>
        <v>0</v>
      </c>
      <c r="E66" s="465">
        <f t="shared" si="4"/>
        <v>0</v>
      </c>
      <c r="F66" s="465">
        <f t="shared" si="4"/>
        <v>0</v>
      </c>
      <c r="G66" s="465">
        <f t="shared" si="4"/>
        <v>0</v>
      </c>
      <c r="H66" s="316"/>
    </row>
    <row r="67" spans="1:278" outlineLevel="1" x14ac:dyDescent="0.25">
      <c r="A67" s="8" t="s">
        <v>97</v>
      </c>
      <c r="B67" s="335"/>
      <c r="C67" s="335"/>
      <c r="D67" s="335"/>
      <c r="E67" s="335"/>
      <c r="F67" s="335"/>
      <c r="G67" s="335"/>
      <c r="H67" s="316"/>
    </row>
    <row r="68" spans="1:278" outlineLevel="1" x14ac:dyDescent="0.25">
      <c r="A68" s="112" t="s">
        <v>101</v>
      </c>
      <c r="B68" s="337"/>
      <c r="C68" s="337"/>
      <c r="D68" s="337"/>
      <c r="E68" s="337"/>
      <c r="F68" s="337"/>
      <c r="G68" s="337"/>
      <c r="H68" s="316"/>
    </row>
    <row r="69" spans="1:278" ht="13" outlineLevel="1" x14ac:dyDescent="0.3">
      <c r="A69" s="323" t="s">
        <v>173</v>
      </c>
      <c r="B69" s="337"/>
      <c r="C69" s="337"/>
      <c r="D69" s="336"/>
      <c r="E69" s="336"/>
      <c r="F69" s="337"/>
      <c r="G69" s="337"/>
      <c r="H69" s="316"/>
    </row>
    <row r="70" spans="1:278" ht="13" outlineLevel="1" x14ac:dyDescent="0.3">
      <c r="A70" s="323" t="s">
        <v>173</v>
      </c>
      <c r="B70" s="337"/>
      <c r="C70" s="337"/>
      <c r="D70" s="336"/>
      <c r="E70" s="336"/>
      <c r="F70" s="337"/>
      <c r="G70" s="337"/>
      <c r="H70" s="316"/>
    </row>
    <row r="71" spans="1:278" ht="13" outlineLevel="1" x14ac:dyDescent="0.3">
      <c r="A71" s="160" t="s">
        <v>277</v>
      </c>
      <c r="B71" s="325"/>
      <c r="C71" s="325"/>
      <c r="D71" s="325"/>
      <c r="E71" s="325"/>
      <c r="F71" s="325"/>
      <c r="G71" s="325"/>
      <c r="H71" s="316"/>
    </row>
    <row r="72" spans="1:278" ht="13" x14ac:dyDescent="0.3">
      <c r="A72" s="59" t="s">
        <v>96</v>
      </c>
      <c r="B72" s="465">
        <f>SUM(B73:B80)</f>
        <v>0</v>
      </c>
      <c r="C72" s="465">
        <f t="shared" ref="C72:G72" si="5">SUM(C73:C80)</f>
        <v>0</v>
      </c>
      <c r="D72" s="465">
        <f t="shared" si="5"/>
        <v>0</v>
      </c>
      <c r="E72" s="465">
        <f t="shared" si="5"/>
        <v>0</v>
      </c>
      <c r="F72" s="465">
        <f t="shared" si="5"/>
        <v>0</v>
      </c>
      <c r="G72" s="465">
        <f t="shared" si="5"/>
        <v>0</v>
      </c>
      <c r="H72" s="466"/>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3"/>
      <c r="BQ72" s="113"/>
      <c r="BR72" s="113"/>
      <c r="BS72" s="113"/>
      <c r="BT72" s="113"/>
      <c r="BU72" s="113"/>
      <c r="BV72" s="113"/>
      <c r="BW72" s="113"/>
      <c r="BX72" s="113"/>
      <c r="BY72" s="113"/>
      <c r="BZ72" s="113"/>
      <c r="CA72" s="113"/>
      <c r="CB72" s="113"/>
      <c r="CC72" s="113"/>
      <c r="CD72" s="113"/>
      <c r="CE72" s="113"/>
      <c r="CF72" s="113"/>
      <c r="CG72" s="113"/>
      <c r="CH72" s="113"/>
      <c r="CI72" s="113"/>
      <c r="CJ72" s="113"/>
      <c r="CK72" s="113"/>
      <c r="CL72" s="113"/>
      <c r="CM72" s="113"/>
      <c r="CN72" s="113"/>
      <c r="CO72" s="113"/>
      <c r="CP72" s="113"/>
      <c r="CQ72" s="113"/>
      <c r="CR72" s="113"/>
      <c r="CS72" s="113"/>
      <c r="CT72" s="113"/>
      <c r="CU72" s="113"/>
      <c r="CV72" s="113"/>
      <c r="CW72" s="113"/>
      <c r="CX72" s="113"/>
      <c r="CY72" s="113"/>
      <c r="CZ72" s="113"/>
      <c r="DA72" s="113"/>
      <c r="DB72" s="113"/>
      <c r="DC72" s="113"/>
      <c r="DD72" s="113"/>
      <c r="DE72" s="113"/>
      <c r="DF72" s="113"/>
      <c r="DG72" s="113"/>
      <c r="DH72" s="113"/>
      <c r="DI72" s="113"/>
      <c r="DJ72" s="113"/>
      <c r="DK72" s="113"/>
      <c r="DL72" s="113"/>
      <c r="DM72" s="113"/>
      <c r="DN72" s="113"/>
      <c r="DO72" s="113"/>
      <c r="DP72" s="113"/>
      <c r="DQ72" s="113"/>
      <c r="DR72" s="113"/>
      <c r="DS72" s="113"/>
      <c r="DT72" s="113"/>
      <c r="DU72" s="113"/>
      <c r="DV72" s="113"/>
      <c r="DW72" s="113"/>
      <c r="DX72" s="113"/>
      <c r="DY72" s="113"/>
      <c r="DZ72" s="113"/>
      <c r="EA72" s="113"/>
      <c r="EB72" s="113"/>
      <c r="EC72" s="113"/>
      <c r="ED72" s="113"/>
      <c r="EE72" s="113"/>
      <c r="EF72" s="113"/>
      <c r="EG72" s="113"/>
      <c r="EH72" s="113"/>
      <c r="EI72" s="113"/>
      <c r="EJ72" s="113"/>
      <c r="EK72" s="113"/>
      <c r="EL72" s="113"/>
      <c r="EM72" s="113"/>
      <c r="EN72" s="113"/>
      <c r="EO72" s="113"/>
      <c r="EP72" s="113"/>
      <c r="EQ72" s="113"/>
      <c r="ER72" s="113"/>
      <c r="ES72" s="113"/>
      <c r="ET72" s="113"/>
      <c r="EU72" s="113"/>
      <c r="EV72" s="113"/>
      <c r="EW72" s="113"/>
      <c r="EX72" s="113"/>
      <c r="EY72" s="113"/>
      <c r="EZ72" s="113"/>
      <c r="FA72" s="113"/>
      <c r="FB72" s="113"/>
      <c r="FC72" s="113"/>
      <c r="FD72" s="113"/>
      <c r="FE72" s="113"/>
      <c r="FF72" s="113"/>
      <c r="FG72" s="113"/>
      <c r="FH72" s="113"/>
      <c r="FI72" s="113"/>
      <c r="FJ72" s="113"/>
      <c r="FK72" s="113"/>
      <c r="FL72" s="113"/>
      <c r="FM72" s="113"/>
      <c r="FN72" s="113"/>
      <c r="FO72" s="113"/>
      <c r="FP72" s="113"/>
      <c r="FQ72" s="113"/>
      <c r="FR72" s="113"/>
      <c r="FS72" s="113"/>
      <c r="FT72" s="113"/>
      <c r="FU72" s="113"/>
      <c r="FV72" s="113"/>
      <c r="FW72" s="113"/>
      <c r="FX72" s="113"/>
      <c r="FY72" s="113"/>
      <c r="FZ72" s="113"/>
      <c r="GA72" s="113"/>
      <c r="GB72" s="113"/>
      <c r="GC72" s="113"/>
      <c r="GD72" s="113"/>
      <c r="GE72" s="113"/>
      <c r="GF72" s="113"/>
      <c r="GG72" s="113"/>
      <c r="GH72" s="113"/>
    </row>
    <row r="73" spans="1:278" s="13" customFormat="1" outlineLevel="1" x14ac:dyDescent="0.25">
      <c r="A73" s="11" t="s">
        <v>38</v>
      </c>
      <c r="B73" s="335"/>
      <c r="C73" s="335"/>
      <c r="D73" s="335"/>
      <c r="E73" s="335"/>
      <c r="F73" s="335"/>
      <c r="G73" s="335"/>
      <c r="H73" s="466"/>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3"/>
      <c r="BQ73" s="113"/>
      <c r="BR73" s="113"/>
      <c r="BS73" s="113"/>
      <c r="BT73" s="113"/>
      <c r="BU73" s="113"/>
      <c r="BV73" s="113"/>
      <c r="BW73" s="113"/>
      <c r="BX73" s="113"/>
      <c r="BY73" s="113"/>
      <c r="BZ73" s="113"/>
      <c r="CA73" s="113"/>
      <c r="CB73" s="113"/>
      <c r="CC73" s="113"/>
      <c r="CD73" s="113"/>
      <c r="CE73" s="113"/>
      <c r="CF73" s="113"/>
      <c r="CG73" s="113"/>
      <c r="CH73" s="113"/>
      <c r="CI73" s="113"/>
      <c r="CJ73" s="113"/>
      <c r="CK73" s="113"/>
      <c r="CL73" s="113"/>
      <c r="CM73" s="113"/>
      <c r="CN73" s="113"/>
      <c r="CO73" s="113"/>
      <c r="CP73" s="113"/>
      <c r="CQ73" s="113"/>
      <c r="CR73" s="113"/>
      <c r="CS73" s="113"/>
      <c r="CT73" s="113"/>
      <c r="CU73" s="113"/>
      <c r="CV73" s="113"/>
      <c r="CW73" s="113"/>
      <c r="CX73" s="113"/>
      <c r="CY73" s="113"/>
      <c r="CZ73" s="113"/>
      <c r="DA73" s="113"/>
      <c r="DB73" s="113"/>
      <c r="DC73" s="113"/>
      <c r="DD73" s="113"/>
      <c r="DE73" s="113"/>
      <c r="DF73" s="113"/>
      <c r="DG73" s="113"/>
      <c r="DH73" s="113"/>
      <c r="DI73" s="113"/>
      <c r="DJ73" s="113"/>
      <c r="DK73" s="113"/>
      <c r="DL73" s="113"/>
      <c r="DM73" s="113"/>
      <c r="DN73" s="113"/>
      <c r="DO73" s="113"/>
      <c r="DP73" s="113"/>
      <c r="DQ73" s="113"/>
      <c r="DR73" s="113"/>
      <c r="DS73" s="113"/>
      <c r="DT73" s="113"/>
      <c r="DU73" s="113"/>
      <c r="DV73" s="113"/>
      <c r="DW73" s="113"/>
      <c r="DX73" s="113"/>
      <c r="DY73" s="113"/>
      <c r="DZ73" s="113"/>
      <c r="EA73" s="113"/>
      <c r="EB73" s="113"/>
      <c r="EC73" s="113"/>
      <c r="ED73" s="113"/>
      <c r="EE73" s="113"/>
      <c r="EF73" s="113"/>
      <c r="EG73" s="113"/>
      <c r="EH73" s="113"/>
      <c r="EI73" s="113"/>
      <c r="EJ73" s="113"/>
      <c r="EK73" s="113"/>
      <c r="EL73" s="113"/>
      <c r="EM73" s="113"/>
      <c r="EN73" s="113"/>
      <c r="EO73" s="113"/>
      <c r="EP73" s="113"/>
      <c r="EQ73" s="113"/>
      <c r="ER73" s="113"/>
      <c r="ES73" s="113"/>
      <c r="ET73" s="113"/>
      <c r="EU73" s="113"/>
      <c r="EV73" s="113"/>
      <c r="EW73" s="113"/>
      <c r="EX73" s="113"/>
      <c r="EY73" s="113"/>
      <c r="EZ73" s="113"/>
      <c r="FA73" s="113"/>
      <c r="FB73" s="113"/>
      <c r="FC73" s="113"/>
      <c r="FD73" s="113"/>
      <c r="FE73" s="113"/>
      <c r="FF73" s="113"/>
      <c r="FG73" s="113"/>
      <c r="FH73" s="113"/>
      <c r="FI73" s="113"/>
      <c r="FJ73" s="113"/>
      <c r="FK73" s="113"/>
      <c r="FL73" s="113"/>
      <c r="FM73" s="113"/>
      <c r="FN73" s="113"/>
      <c r="FO73" s="113"/>
      <c r="FP73" s="113"/>
      <c r="FQ73" s="113"/>
      <c r="FR73" s="113"/>
      <c r="FS73" s="113"/>
      <c r="FT73" s="113"/>
      <c r="FU73" s="113"/>
      <c r="FV73" s="113"/>
      <c r="FW73" s="113"/>
      <c r="FX73" s="113"/>
      <c r="FY73" s="113"/>
      <c r="FZ73" s="113"/>
      <c r="GA73" s="113"/>
      <c r="GB73" s="113"/>
      <c r="GC73" s="113"/>
      <c r="GD73" s="113"/>
      <c r="GE73" s="113"/>
      <c r="GF73" s="113"/>
      <c r="GG73" s="113"/>
      <c r="GH73" s="113"/>
      <c r="GI73" s="113"/>
      <c r="GJ73" s="113"/>
      <c r="GK73" s="113"/>
      <c r="GL73" s="113"/>
      <c r="GM73" s="113"/>
      <c r="GN73" s="113"/>
      <c r="GO73" s="113"/>
      <c r="GP73" s="113"/>
      <c r="GQ73" s="113"/>
      <c r="GR73" s="113"/>
      <c r="GS73" s="113"/>
      <c r="GT73" s="113"/>
      <c r="GU73" s="113"/>
      <c r="GV73" s="113"/>
      <c r="GW73" s="113"/>
      <c r="GX73" s="113"/>
      <c r="GY73" s="113"/>
      <c r="GZ73" s="113"/>
      <c r="HA73" s="113"/>
      <c r="HB73" s="113"/>
      <c r="HC73" s="113"/>
      <c r="HD73" s="113"/>
      <c r="HE73" s="113"/>
      <c r="HF73" s="113"/>
      <c r="HG73" s="113"/>
      <c r="HH73" s="113"/>
      <c r="HI73" s="113"/>
      <c r="HJ73" s="113"/>
      <c r="HK73" s="113"/>
      <c r="HL73" s="113"/>
      <c r="HM73" s="113"/>
      <c r="HN73" s="113"/>
      <c r="HO73" s="113"/>
      <c r="HP73" s="113"/>
      <c r="HQ73" s="113"/>
      <c r="HR73" s="113"/>
      <c r="HS73" s="113"/>
      <c r="HT73" s="113"/>
      <c r="HU73" s="113"/>
      <c r="HV73" s="113"/>
      <c r="HW73" s="113"/>
      <c r="HX73" s="113"/>
      <c r="HY73" s="113"/>
      <c r="HZ73" s="113"/>
      <c r="IA73" s="113"/>
      <c r="IB73" s="113"/>
      <c r="IC73" s="113"/>
      <c r="ID73" s="113"/>
      <c r="IE73" s="113"/>
      <c r="IF73" s="113"/>
      <c r="IG73" s="113"/>
      <c r="IH73" s="113"/>
      <c r="II73" s="113"/>
      <c r="IJ73" s="113"/>
      <c r="IK73" s="113"/>
      <c r="IL73" s="113"/>
      <c r="IM73" s="113"/>
      <c r="IN73" s="113"/>
      <c r="IO73" s="113"/>
      <c r="IP73" s="113"/>
      <c r="IQ73" s="113"/>
      <c r="IR73" s="113"/>
      <c r="IS73" s="113"/>
      <c r="IT73" s="113"/>
      <c r="IU73" s="113"/>
      <c r="IV73" s="113"/>
      <c r="IW73" s="113"/>
      <c r="IX73" s="113"/>
      <c r="IY73" s="113"/>
      <c r="IZ73" s="113"/>
      <c r="JA73" s="113"/>
      <c r="JB73" s="113"/>
      <c r="JC73" s="113"/>
      <c r="JD73" s="113"/>
      <c r="JE73" s="113"/>
      <c r="JF73" s="113"/>
      <c r="JG73" s="113"/>
      <c r="JH73" s="113"/>
      <c r="JI73" s="113"/>
      <c r="JJ73" s="113"/>
      <c r="JK73" s="113"/>
      <c r="JL73" s="113"/>
      <c r="JM73" s="113"/>
      <c r="JN73" s="113"/>
      <c r="JO73" s="113"/>
      <c r="JP73" s="113"/>
      <c r="JQ73" s="113"/>
      <c r="JR73" s="113"/>
    </row>
    <row r="74" spans="1:278" outlineLevel="1" x14ac:dyDescent="0.25">
      <c r="A74" s="8" t="s">
        <v>29</v>
      </c>
      <c r="B74" s="335"/>
      <c r="C74" s="335"/>
      <c r="D74" s="335"/>
      <c r="E74" s="335"/>
      <c r="F74" s="335"/>
      <c r="G74" s="335"/>
      <c r="H74" s="316"/>
      <c r="GI74" s="113"/>
      <c r="GJ74" s="113"/>
      <c r="GK74" s="113"/>
      <c r="GL74" s="113"/>
      <c r="GM74" s="113"/>
      <c r="GN74" s="113"/>
      <c r="GO74" s="113"/>
      <c r="GP74" s="113"/>
      <c r="GQ74" s="113"/>
      <c r="GR74" s="113"/>
    </row>
    <row r="75" spans="1:278" outlineLevel="1" x14ac:dyDescent="0.25">
      <c r="A75" s="8" t="s">
        <v>99</v>
      </c>
      <c r="B75" s="335"/>
      <c r="C75" s="335"/>
      <c r="D75" s="335"/>
      <c r="E75" s="335"/>
      <c r="F75" s="335"/>
      <c r="G75" s="335"/>
      <c r="H75" s="316"/>
    </row>
    <row r="76" spans="1:278" outlineLevel="1" x14ac:dyDescent="0.25">
      <c r="A76" s="8" t="s">
        <v>41</v>
      </c>
      <c r="B76" s="335"/>
      <c r="C76" s="335"/>
      <c r="D76" s="335"/>
      <c r="E76" s="335"/>
      <c r="F76" s="335"/>
      <c r="G76" s="335"/>
      <c r="H76" s="316"/>
    </row>
    <row r="77" spans="1:278" outlineLevel="1" x14ac:dyDescent="0.25">
      <c r="A77" s="114" t="s">
        <v>39</v>
      </c>
      <c r="B77" s="336"/>
      <c r="C77" s="336"/>
      <c r="D77" s="336"/>
      <c r="E77" s="336"/>
      <c r="F77" s="336"/>
      <c r="G77" s="336"/>
      <c r="H77" s="316"/>
    </row>
    <row r="78" spans="1:278" s="13" customFormat="1" outlineLevel="1" x14ac:dyDescent="0.25">
      <c r="A78" s="11" t="s">
        <v>95</v>
      </c>
      <c r="B78" s="335"/>
      <c r="C78" s="335"/>
      <c r="D78" s="335"/>
      <c r="E78" s="335"/>
      <c r="F78" s="335"/>
      <c r="G78" s="335"/>
      <c r="H78" s="466"/>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3"/>
      <c r="BQ78" s="113"/>
      <c r="BR78" s="113"/>
      <c r="BS78" s="113"/>
      <c r="BT78" s="113"/>
      <c r="BU78" s="113"/>
      <c r="BV78" s="113"/>
      <c r="BW78" s="113"/>
      <c r="BX78" s="113"/>
      <c r="BY78" s="113"/>
      <c r="BZ78" s="113"/>
      <c r="CA78" s="113"/>
      <c r="CB78" s="113"/>
      <c r="CC78" s="113"/>
      <c r="CD78" s="113"/>
      <c r="CE78" s="113"/>
      <c r="CF78" s="113"/>
      <c r="CG78" s="113"/>
      <c r="CH78" s="113"/>
      <c r="CI78" s="113"/>
      <c r="CJ78" s="113"/>
      <c r="CK78" s="113"/>
      <c r="CL78" s="113"/>
      <c r="CM78" s="113"/>
      <c r="CN78" s="113"/>
      <c r="CO78" s="113"/>
      <c r="CP78" s="113"/>
      <c r="CQ78" s="113"/>
      <c r="CR78" s="113"/>
      <c r="CS78" s="113"/>
      <c r="CT78" s="113"/>
      <c r="CU78" s="113"/>
      <c r="CV78" s="113"/>
      <c r="CW78" s="113"/>
      <c r="CX78" s="113"/>
      <c r="CY78" s="113"/>
      <c r="CZ78" s="113"/>
      <c r="DA78" s="113"/>
      <c r="DB78" s="113"/>
      <c r="DC78" s="113"/>
      <c r="DD78" s="113"/>
      <c r="DE78" s="113"/>
      <c r="DF78" s="113"/>
      <c r="DG78" s="113"/>
      <c r="DH78" s="113"/>
      <c r="DI78" s="113"/>
      <c r="DJ78" s="113"/>
      <c r="DK78" s="113"/>
      <c r="DL78" s="113"/>
      <c r="DM78" s="113"/>
      <c r="DN78" s="113"/>
      <c r="DO78" s="113"/>
      <c r="DP78" s="113"/>
      <c r="DQ78" s="113"/>
      <c r="DR78" s="113"/>
      <c r="DS78" s="113"/>
      <c r="DT78" s="113"/>
      <c r="DU78" s="113"/>
      <c r="DV78" s="113"/>
      <c r="DW78" s="113"/>
      <c r="DX78" s="113"/>
      <c r="DY78" s="113"/>
      <c r="DZ78" s="113"/>
      <c r="EA78" s="113"/>
      <c r="EB78" s="113"/>
      <c r="EC78" s="113"/>
      <c r="ED78" s="113"/>
      <c r="EE78" s="113"/>
      <c r="EF78" s="113"/>
      <c r="EG78" s="113"/>
      <c r="EH78" s="113"/>
      <c r="EI78" s="113"/>
      <c r="EJ78" s="113"/>
      <c r="EK78" s="113"/>
      <c r="EL78" s="113"/>
      <c r="EM78" s="113"/>
      <c r="EN78" s="113"/>
      <c r="EO78" s="113"/>
      <c r="EP78" s="113"/>
      <c r="EQ78" s="113"/>
      <c r="ER78" s="113"/>
      <c r="ES78" s="113"/>
      <c r="ET78" s="113"/>
      <c r="EU78" s="113"/>
      <c r="EV78" s="113"/>
      <c r="EW78" s="113"/>
      <c r="EX78" s="113"/>
      <c r="EY78" s="113"/>
      <c r="EZ78" s="113"/>
      <c r="FA78" s="113"/>
      <c r="FB78" s="113"/>
      <c r="FC78" s="113"/>
      <c r="FD78" s="113"/>
      <c r="FE78" s="113"/>
      <c r="FF78" s="113"/>
      <c r="FG78" s="113"/>
      <c r="FH78" s="113"/>
      <c r="FI78" s="113"/>
      <c r="FJ78" s="113"/>
      <c r="FK78" s="113"/>
      <c r="FL78" s="113"/>
      <c r="FM78" s="113"/>
      <c r="FN78" s="113"/>
      <c r="FO78" s="113"/>
      <c r="FP78" s="113"/>
      <c r="FQ78" s="113"/>
      <c r="FR78" s="113"/>
      <c r="FS78" s="113"/>
      <c r="FT78" s="113"/>
      <c r="FU78" s="113"/>
      <c r="FV78" s="113"/>
      <c r="FW78" s="113"/>
      <c r="FX78" s="113"/>
      <c r="FY78" s="113"/>
      <c r="FZ78" s="113"/>
      <c r="GA78" s="113"/>
      <c r="GB78" s="113"/>
      <c r="GC78" s="113"/>
      <c r="GD78" s="113"/>
      <c r="GE78" s="113"/>
      <c r="GF78" s="113"/>
      <c r="GG78" s="113"/>
      <c r="GH78" s="113"/>
      <c r="GI78" s="113"/>
      <c r="GJ78" s="113"/>
      <c r="GK78" s="113"/>
      <c r="GL78" s="113"/>
      <c r="GM78" s="113"/>
      <c r="GN78" s="113"/>
      <c r="GO78" s="113"/>
      <c r="GP78" s="113"/>
      <c r="GQ78" s="113"/>
      <c r="GR78" s="113"/>
      <c r="GS78" s="113"/>
      <c r="GT78" s="113"/>
      <c r="GU78" s="113"/>
      <c r="GV78" s="113"/>
      <c r="GW78" s="113"/>
      <c r="GX78" s="113"/>
      <c r="GY78" s="113"/>
      <c r="GZ78" s="113"/>
      <c r="HA78" s="113"/>
      <c r="HB78" s="113"/>
      <c r="HC78" s="113"/>
      <c r="HD78" s="113"/>
      <c r="HE78" s="113"/>
      <c r="HF78" s="113"/>
      <c r="HG78" s="113"/>
      <c r="HH78" s="113"/>
      <c r="HI78" s="113"/>
      <c r="HJ78" s="113"/>
      <c r="HK78" s="113"/>
      <c r="HL78" s="113"/>
      <c r="HM78" s="113"/>
      <c r="HN78" s="113"/>
      <c r="HO78" s="113"/>
      <c r="HP78" s="113"/>
      <c r="HQ78" s="113"/>
      <c r="HR78" s="113"/>
      <c r="HS78" s="113"/>
      <c r="HT78" s="113"/>
      <c r="HU78" s="113"/>
      <c r="HV78" s="113"/>
      <c r="HW78" s="113"/>
      <c r="HX78" s="113"/>
      <c r="HY78" s="113"/>
      <c r="HZ78" s="113"/>
      <c r="IA78" s="113"/>
      <c r="IB78" s="113"/>
      <c r="IC78" s="113"/>
      <c r="ID78" s="113"/>
      <c r="IE78" s="113"/>
      <c r="IF78" s="113"/>
      <c r="IG78" s="113"/>
      <c r="IH78" s="113"/>
      <c r="II78" s="113"/>
      <c r="IJ78" s="113"/>
      <c r="IK78" s="113"/>
      <c r="IL78" s="113"/>
      <c r="IM78" s="113"/>
      <c r="IN78" s="113"/>
      <c r="IO78" s="113"/>
      <c r="IP78" s="113"/>
      <c r="IQ78" s="113"/>
      <c r="IR78" s="113"/>
      <c r="IS78" s="113"/>
      <c r="IT78" s="113"/>
      <c r="IU78" s="113"/>
      <c r="IV78" s="113"/>
      <c r="IW78" s="113"/>
      <c r="IX78" s="113"/>
      <c r="IY78" s="113"/>
      <c r="IZ78" s="113"/>
      <c r="JA78" s="113"/>
      <c r="JB78" s="113"/>
      <c r="JC78" s="113"/>
      <c r="JD78" s="113"/>
      <c r="JE78" s="113"/>
      <c r="JF78" s="113"/>
      <c r="JG78" s="113"/>
      <c r="JH78" s="113"/>
      <c r="JI78" s="113"/>
      <c r="JJ78" s="113"/>
      <c r="JK78" s="113"/>
      <c r="JL78" s="113"/>
      <c r="JM78" s="113"/>
      <c r="JN78" s="113"/>
      <c r="JO78" s="113"/>
      <c r="JP78" s="113"/>
      <c r="JQ78" s="113"/>
      <c r="JR78" s="113"/>
    </row>
    <row r="79" spans="1:278" s="13" customFormat="1" ht="13" outlineLevel="1" x14ac:dyDescent="0.3">
      <c r="A79" s="326" t="s">
        <v>173</v>
      </c>
      <c r="B79" s="335"/>
      <c r="C79" s="337"/>
      <c r="D79" s="336"/>
      <c r="E79" s="336"/>
      <c r="F79" s="337"/>
      <c r="G79" s="337"/>
      <c r="H79" s="466"/>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c r="BM79" s="113"/>
      <c r="BN79" s="113"/>
      <c r="BO79" s="113"/>
      <c r="BP79" s="113"/>
      <c r="BQ79" s="113"/>
      <c r="BR79" s="113"/>
      <c r="BS79" s="113"/>
      <c r="BT79" s="113"/>
      <c r="BU79" s="113"/>
      <c r="BV79" s="113"/>
      <c r="BW79" s="113"/>
      <c r="BX79" s="113"/>
      <c r="BY79" s="113"/>
      <c r="BZ79" s="113"/>
      <c r="CA79" s="113"/>
      <c r="CB79" s="113"/>
      <c r="CC79" s="113"/>
      <c r="CD79" s="113"/>
      <c r="CE79" s="113"/>
      <c r="CF79" s="113"/>
      <c r="CG79" s="113"/>
      <c r="CH79" s="113"/>
      <c r="CI79" s="113"/>
      <c r="CJ79" s="113"/>
      <c r="CK79" s="113"/>
      <c r="CL79" s="113"/>
      <c r="CM79" s="113"/>
      <c r="CN79" s="113"/>
      <c r="CO79" s="113"/>
      <c r="CP79" s="113"/>
      <c r="CQ79" s="113"/>
      <c r="CR79" s="113"/>
      <c r="CS79" s="113"/>
      <c r="CT79" s="113"/>
      <c r="CU79" s="113"/>
      <c r="CV79" s="113"/>
      <c r="CW79" s="113"/>
      <c r="CX79" s="113"/>
      <c r="CY79" s="113"/>
      <c r="CZ79" s="113"/>
      <c r="DA79" s="113"/>
      <c r="DB79" s="113"/>
      <c r="DC79" s="113"/>
      <c r="DD79" s="113"/>
      <c r="DE79" s="113"/>
      <c r="DF79" s="113"/>
      <c r="DG79" s="113"/>
      <c r="DH79" s="113"/>
      <c r="DI79" s="113"/>
      <c r="DJ79" s="113"/>
      <c r="DK79" s="113"/>
      <c r="DL79" s="113"/>
      <c r="DM79" s="113"/>
      <c r="DN79" s="113"/>
      <c r="DO79" s="113"/>
      <c r="DP79" s="113"/>
      <c r="DQ79" s="113"/>
      <c r="DR79" s="113"/>
      <c r="DS79" s="113"/>
      <c r="DT79" s="113"/>
      <c r="DU79" s="113"/>
      <c r="DV79" s="113"/>
      <c r="DW79" s="113"/>
      <c r="DX79" s="113"/>
      <c r="DY79" s="113"/>
      <c r="DZ79" s="113"/>
      <c r="EA79" s="113"/>
      <c r="EB79" s="113"/>
      <c r="EC79" s="113"/>
      <c r="ED79" s="113"/>
      <c r="EE79" s="113"/>
      <c r="EF79" s="113"/>
      <c r="EG79" s="113"/>
      <c r="EH79" s="113"/>
      <c r="EI79" s="113"/>
      <c r="EJ79" s="113"/>
      <c r="EK79" s="113"/>
      <c r="EL79" s="113"/>
      <c r="EM79" s="113"/>
      <c r="EN79" s="113"/>
      <c r="EO79" s="113"/>
      <c r="EP79" s="113"/>
      <c r="EQ79" s="113"/>
      <c r="ER79" s="113"/>
      <c r="ES79" s="113"/>
      <c r="ET79" s="113"/>
      <c r="EU79" s="113"/>
      <c r="EV79" s="113"/>
      <c r="EW79" s="113"/>
      <c r="EX79" s="113"/>
      <c r="EY79" s="113"/>
      <c r="EZ79" s="113"/>
      <c r="FA79" s="113"/>
      <c r="FB79" s="113"/>
      <c r="FC79" s="113"/>
      <c r="FD79" s="113"/>
      <c r="FE79" s="113"/>
      <c r="FF79" s="113"/>
      <c r="FG79" s="113"/>
      <c r="FH79" s="113"/>
      <c r="FI79" s="113"/>
      <c r="FJ79" s="113"/>
      <c r="FK79" s="113"/>
      <c r="FL79" s="113"/>
      <c r="FM79" s="113"/>
      <c r="FN79" s="113"/>
      <c r="FO79" s="113"/>
      <c r="FP79" s="113"/>
      <c r="FQ79" s="113"/>
      <c r="FR79" s="113"/>
      <c r="FS79" s="113"/>
      <c r="FT79" s="113"/>
      <c r="FU79" s="113"/>
      <c r="FV79" s="113"/>
      <c r="FW79" s="113"/>
      <c r="FX79" s="113"/>
      <c r="FY79" s="113"/>
      <c r="FZ79" s="113"/>
      <c r="GA79" s="113"/>
      <c r="GB79" s="113"/>
      <c r="GC79" s="113"/>
      <c r="GD79" s="113"/>
      <c r="GE79" s="113"/>
      <c r="GF79" s="113"/>
      <c r="GG79" s="113"/>
      <c r="GH79" s="113"/>
      <c r="GI79" s="113"/>
      <c r="GJ79" s="113"/>
      <c r="GK79" s="113"/>
      <c r="GL79" s="113"/>
      <c r="GM79" s="113"/>
      <c r="GN79" s="113"/>
      <c r="GO79" s="113"/>
      <c r="GP79" s="113"/>
      <c r="GQ79" s="113"/>
      <c r="GR79" s="113"/>
      <c r="GS79" s="113"/>
      <c r="GT79" s="113"/>
      <c r="GU79" s="113"/>
      <c r="GV79" s="113"/>
      <c r="GW79" s="113"/>
      <c r="GX79" s="113"/>
      <c r="GY79" s="113"/>
      <c r="GZ79" s="113"/>
      <c r="HA79" s="113"/>
      <c r="HB79" s="113"/>
      <c r="HC79" s="113"/>
      <c r="HD79" s="113"/>
      <c r="HE79" s="113"/>
      <c r="HF79" s="113"/>
      <c r="HG79" s="113"/>
      <c r="HH79" s="113"/>
      <c r="HI79" s="113"/>
      <c r="HJ79" s="113"/>
      <c r="HK79" s="113"/>
      <c r="HL79" s="113"/>
      <c r="HM79" s="113"/>
      <c r="HN79" s="113"/>
      <c r="HO79" s="113"/>
      <c r="HP79" s="113"/>
      <c r="HQ79" s="113"/>
      <c r="HR79" s="113"/>
      <c r="HS79" s="113"/>
      <c r="HT79" s="113"/>
      <c r="HU79" s="113"/>
      <c r="HV79" s="113"/>
      <c r="HW79" s="113"/>
      <c r="HX79" s="113"/>
      <c r="HY79" s="113"/>
      <c r="HZ79" s="113"/>
      <c r="IA79" s="113"/>
      <c r="IB79" s="113"/>
      <c r="IC79" s="113"/>
      <c r="ID79" s="113"/>
      <c r="IE79" s="113"/>
      <c r="IF79" s="113"/>
      <c r="IG79" s="113"/>
      <c r="IH79" s="113"/>
      <c r="II79" s="113"/>
      <c r="IJ79" s="113"/>
      <c r="IK79" s="113"/>
      <c r="IL79" s="113"/>
      <c r="IM79" s="113"/>
      <c r="IN79" s="113"/>
      <c r="IO79" s="113"/>
      <c r="IP79" s="113"/>
      <c r="IQ79" s="113"/>
      <c r="IR79" s="113"/>
      <c r="IS79" s="113"/>
      <c r="IT79" s="113"/>
      <c r="IU79" s="113"/>
      <c r="IV79" s="113"/>
      <c r="IW79" s="113"/>
      <c r="IX79" s="113"/>
      <c r="IY79" s="113"/>
      <c r="IZ79" s="113"/>
      <c r="JA79" s="113"/>
      <c r="JB79" s="113"/>
      <c r="JC79" s="113"/>
      <c r="JD79" s="113"/>
      <c r="JE79" s="113"/>
      <c r="JF79" s="113"/>
      <c r="JG79" s="113"/>
      <c r="JH79" s="113"/>
      <c r="JI79" s="113"/>
      <c r="JJ79" s="113"/>
      <c r="JK79" s="113"/>
      <c r="JL79" s="113"/>
      <c r="JM79" s="113"/>
      <c r="JN79" s="113"/>
      <c r="JO79" s="113"/>
      <c r="JP79" s="113"/>
      <c r="JQ79" s="113"/>
      <c r="JR79" s="113"/>
    </row>
    <row r="80" spans="1:278" s="13" customFormat="1" ht="13" outlineLevel="1" x14ac:dyDescent="0.3">
      <c r="A80" s="326" t="s">
        <v>173</v>
      </c>
      <c r="B80" s="335"/>
      <c r="C80" s="337"/>
      <c r="D80" s="336"/>
      <c r="E80" s="336"/>
      <c r="F80" s="337"/>
      <c r="G80" s="337"/>
      <c r="H80" s="466"/>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3"/>
      <c r="BQ80" s="113"/>
      <c r="BR80" s="113"/>
      <c r="BS80" s="113"/>
      <c r="BT80" s="113"/>
      <c r="BU80" s="113"/>
      <c r="BV80" s="113"/>
      <c r="BW80" s="113"/>
      <c r="BX80" s="113"/>
      <c r="BY80" s="113"/>
      <c r="BZ80" s="113"/>
      <c r="CA80" s="113"/>
      <c r="CB80" s="113"/>
      <c r="CC80" s="113"/>
      <c r="CD80" s="113"/>
      <c r="CE80" s="113"/>
      <c r="CF80" s="113"/>
      <c r="CG80" s="113"/>
      <c r="CH80" s="113"/>
      <c r="CI80" s="113"/>
      <c r="CJ80" s="113"/>
      <c r="CK80" s="113"/>
      <c r="CL80" s="113"/>
      <c r="CM80" s="113"/>
      <c r="CN80" s="113"/>
      <c r="CO80" s="113"/>
      <c r="CP80" s="113"/>
      <c r="CQ80" s="113"/>
      <c r="CR80" s="113"/>
      <c r="CS80" s="113"/>
      <c r="CT80" s="113"/>
      <c r="CU80" s="113"/>
      <c r="CV80" s="113"/>
      <c r="CW80" s="113"/>
      <c r="CX80" s="113"/>
      <c r="CY80" s="113"/>
      <c r="CZ80" s="113"/>
      <c r="DA80" s="113"/>
      <c r="DB80" s="113"/>
      <c r="DC80" s="113"/>
      <c r="DD80" s="113"/>
      <c r="DE80" s="113"/>
      <c r="DF80" s="113"/>
      <c r="DG80" s="113"/>
      <c r="DH80" s="113"/>
      <c r="DI80" s="113"/>
      <c r="DJ80" s="113"/>
      <c r="DK80" s="113"/>
      <c r="DL80" s="113"/>
      <c r="DM80" s="113"/>
      <c r="DN80" s="113"/>
      <c r="DO80" s="113"/>
      <c r="DP80" s="113"/>
      <c r="DQ80" s="113"/>
      <c r="DR80" s="113"/>
      <c r="DS80" s="113"/>
      <c r="DT80" s="113"/>
      <c r="DU80" s="113"/>
      <c r="DV80" s="113"/>
      <c r="DW80" s="113"/>
      <c r="DX80" s="113"/>
      <c r="DY80" s="113"/>
      <c r="DZ80" s="113"/>
      <c r="EA80" s="113"/>
      <c r="EB80" s="113"/>
      <c r="EC80" s="113"/>
      <c r="ED80" s="113"/>
      <c r="EE80" s="113"/>
      <c r="EF80" s="113"/>
      <c r="EG80" s="113"/>
      <c r="EH80" s="113"/>
      <c r="EI80" s="113"/>
      <c r="EJ80" s="113"/>
      <c r="EK80" s="113"/>
      <c r="EL80" s="113"/>
      <c r="EM80" s="113"/>
      <c r="EN80" s="113"/>
      <c r="EO80" s="113"/>
      <c r="EP80" s="113"/>
      <c r="EQ80" s="113"/>
      <c r="ER80" s="113"/>
      <c r="ES80" s="113"/>
      <c r="ET80" s="113"/>
      <c r="EU80" s="113"/>
      <c r="EV80" s="113"/>
      <c r="EW80" s="113"/>
      <c r="EX80" s="113"/>
      <c r="EY80" s="113"/>
      <c r="EZ80" s="113"/>
      <c r="FA80" s="113"/>
      <c r="FB80" s="113"/>
      <c r="FC80" s="113"/>
      <c r="FD80" s="113"/>
      <c r="FE80" s="113"/>
      <c r="FF80" s="113"/>
      <c r="FG80" s="113"/>
      <c r="FH80" s="113"/>
      <c r="FI80" s="113"/>
      <c r="FJ80" s="113"/>
      <c r="FK80" s="113"/>
      <c r="FL80" s="113"/>
      <c r="FM80" s="113"/>
      <c r="FN80" s="113"/>
      <c r="FO80" s="113"/>
      <c r="FP80" s="113"/>
      <c r="FQ80" s="113"/>
      <c r="FR80" s="113"/>
      <c r="FS80" s="113"/>
      <c r="FT80" s="113"/>
      <c r="FU80" s="113"/>
      <c r="FV80" s="113"/>
      <c r="FW80" s="113"/>
      <c r="FX80" s="113"/>
      <c r="FY80" s="113"/>
      <c r="FZ80" s="113"/>
      <c r="GA80" s="113"/>
      <c r="GB80" s="113"/>
      <c r="GC80" s="113"/>
      <c r="GD80" s="113"/>
      <c r="GE80" s="113"/>
      <c r="GF80" s="113"/>
      <c r="GG80" s="113"/>
      <c r="GH80" s="113"/>
      <c r="GI80" s="113"/>
      <c r="GJ80" s="113"/>
      <c r="GK80" s="113"/>
      <c r="GL80" s="113"/>
      <c r="GM80" s="113"/>
      <c r="GN80" s="113"/>
      <c r="GO80" s="113"/>
      <c r="GP80" s="113"/>
      <c r="GQ80" s="113"/>
      <c r="GR80" s="113"/>
      <c r="GS80" s="113"/>
      <c r="GT80" s="113"/>
      <c r="GU80" s="113"/>
      <c r="GV80" s="113"/>
      <c r="GW80" s="113"/>
      <c r="GX80" s="113"/>
      <c r="GY80" s="113"/>
      <c r="GZ80" s="113"/>
      <c r="HA80" s="113"/>
      <c r="HB80" s="113"/>
      <c r="HC80" s="113"/>
      <c r="HD80" s="113"/>
      <c r="HE80" s="113"/>
      <c r="HF80" s="113"/>
      <c r="HG80" s="113"/>
      <c r="HH80" s="113"/>
      <c r="HI80" s="113"/>
      <c r="HJ80" s="113"/>
      <c r="HK80" s="113"/>
      <c r="HL80" s="113"/>
      <c r="HM80" s="113"/>
      <c r="HN80" s="113"/>
      <c r="HO80" s="113"/>
      <c r="HP80" s="113"/>
      <c r="HQ80" s="113"/>
      <c r="HR80" s="113"/>
      <c r="HS80" s="113"/>
      <c r="HT80" s="113"/>
      <c r="HU80" s="113"/>
      <c r="HV80" s="113"/>
      <c r="HW80" s="113"/>
      <c r="HX80" s="113"/>
      <c r="HY80" s="113"/>
      <c r="HZ80" s="113"/>
      <c r="IA80" s="113"/>
      <c r="IB80" s="113"/>
      <c r="IC80" s="113"/>
      <c r="ID80" s="113"/>
      <c r="IE80" s="113"/>
      <c r="IF80" s="113"/>
      <c r="IG80" s="113"/>
      <c r="IH80" s="113"/>
      <c r="II80" s="113"/>
      <c r="IJ80" s="113"/>
      <c r="IK80" s="113"/>
      <c r="IL80" s="113"/>
      <c r="IM80" s="113"/>
      <c r="IN80" s="113"/>
      <c r="IO80" s="113"/>
      <c r="IP80" s="113"/>
      <c r="IQ80" s="113"/>
      <c r="IR80" s="113"/>
      <c r="IS80" s="113"/>
      <c r="IT80" s="113"/>
      <c r="IU80" s="113"/>
      <c r="IV80" s="113"/>
      <c r="IW80" s="113"/>
      <c r="IX80" s="113"/>
      <c r="IY80" s="113"/>
      <c r="IZ80" s="113"/>
      <c r="JA80" s="113"/>
      <c r="JB80" s="113"/>
      <c r="JC80" s="113"/>
      <c r="JD80" s="113"/>
      <c r="JE80" s="113"/>
      <c r="JF80" s="113"/>
      <c r="JG80" s="113"/>
      <c r="JH80" s="113"/>
      <c r="JI80" s="113"/>
      <c r="JJ80" s="113"/>
      <c r="JK80" s="113"/>
      <c r="JL80" s="113"/>
      <c r="JM80" s="113"/>
      <c r="JN80" s="113"/>
      <c r="JO80" s="113"/>
      <c r="JP80" s="113"/>
      <c r="JQ80" s="113"/>
      <c r="JR80" s="113"/>
    </row>
    <row r="81" spans="1:342" s="13" customFormat="1" ht="13" outlineLevel="1" x14ac:dyDescent="0.3">
      <c r="A81" s="160" t="s">
        <v>27</v>
      </c>
      <c r="B81" s="467">
        <f t="shared" ref="B81:G81" si="6">(B40+B48+B52+B53+B61+B66+B71+B72)*0.22</f>
        <v>0</v>
      </c>
      <c r="C81" s="467">
        <f t="shared" si="6"/>
        <v>0</v>
      </c>
      <c r="D81" s="467">
        <f t="shared" si="6"/>
        <v>0</v>
      </c>
      <c r="E81" s="467">
        <f t="shared" si="6"/>
        <v>0</v>
      </c>
      <c r="F81" s="467">
        <f t="shared" si="6"/>
        <v>0</v>
      </c>
      <c r="G81" s="467">
        <f t="shared" si="6"/>
        <v>0</v>
      </c>
      <c r="H81" s="466"/>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c r="BM81" s="113"/>
      <c r="BN81" s="113"/>
      <c r="BO81" s="113"/>
      <c r="BP81" s="113"/>
      <c r="BQ81" s="113"/>
      <c r="BR81" s="113"/>
      <c r="BS81" s="113"/>
      <c r="BT81" s="113"/>
      <c r="BU81" s="113"/>
      <c r="BV81" s="113"/>
      <c r="BW81" s="113"/>
      <c r="BX81" s="113"/>
      <c r="BY81" s="113"/>
      <c r="BZ81" s="113"/>
      <c r="CA81" s="113"/>
      <c r="CB81" s="113"/>
      <c r="CC81" s="113"/>
      <c r="CD81" s="113"/>
      <c r="CE81" s="113"/>
      <c r="CF81" s="113"/>
      <c r="CG81" s="113"/>
      <c r="CH81" s="113"/>
      <c r="CI81" s="113"/>
      <c r="CJ81" s="113"/>
      <c r="CK81" s="113"/>
      <c r="CL81" s="113"/>
      <c r="CM81" s="113"/>
      <c r="CN81" s="113"/>
      <c r="CO81" s="113"/>
      <c r="CP81" s="113"/>
      <c r="CQ81" s="113"/>
      <c r="CR81" s="113"/>
      <c r="CS81" s="113"/>
      <c r="CT81" s="113"/>
      <c r="CU81" s="113"/>
      <c r="CV81" s="113"/>
      <c r="CW81" s="113"/>
      <c r="CX81" s="113"/>
      <c r="CY81" s="113"/>
      <c r="CZ81" s="113"/>
      <c r="DA81" s="113"/>
      <c r="DB81" s="113"/>
      <c r="DC81" s="113"/>
      <c r="DD81" s="113"/>
      <c r="DE81" s="113"/>
      <c r="DF81" s="113"/>
      <c r="DG81" s="113"/>
      <c r="DH81" s="113"/>
      <c r="DI81" s="113"/>
      <c r="DJ81" s="113"/>
      <c r="DK81" s="113"/>
      <c r="DL81" s="113"/>
      <c r="DM81" s="113"/>
      <c r="DN81" s="113"/>
      <c r="DO81" s="113"/>
      <c r="DP81" s="113"/>
      <c r="DQ81" s="113"/>
      <c r="DR81" s="113"/>
      <c r="DS81" s="113"/>
      <c r="DT81" s="113"/>
      <c r="DU81" s="113"/>
      <c r="DV81" s="113"/>
      <c r="DW81" s="113"/>
      <c r="DX81" s="113"/>
      <c r="DY81" s="113"/>
      <c r="DZ81" s="113"/>
      <c r="EA81" s="113"/>
      <c r="EB81" s="113"/>
      <c r="EC81" s="113"/>
      <c r="ED81" s="113"/>
      <c r="EE81" s="113"/>
      <c r="EF81" s="113"/>
      <c r="EG81" s="113"/>
      <c r="EH81" s="113"/>
      <c r="EI81" s="113"/>
      <c r="EJ81" s="113"/>
      <c r="EK81" s="113"/>
      <c r="EL81" s="113"/>
      <c r="EM81" s="113"/>
      <c r="EN81" s="113"/>
      <c r="EO81" s="113"/>
      <c r="EP81" s="113"/>
      <c r="EQ81" s="113"/>
      <c r="ER81" s="113"/>
      <c r="ES81" s="113"/>
      <c r="ET81" s="113"/>
      <c r="EU81" s="113"/>
      <c r="EV81" s="113"/>
      <c r="EW81" s="113"/>
      <c r="EX81" s="113"/>
      <c r="EY81" s="113"/>
      <c r="EZ81" s="113"/>
      <c r="FA81" s="113"/>
      <c r="FB81" s="113"/>
      <c r="FC81" s="113"/>
      <c r="FD81" s="113"/>
      <c r="FE81" s="113"/>
      <c r="FF81" s="113"/>
      <c r="FG81" s="113"/>
      <c r="FH81" s="113"/>
      <c r="FI81" s="113"/>
      <c r="FJ81" s="113"/>
      <c r="FK81" s="113"/>
      <c r="FL81" s="113"/>
      <c r="FM81" s="113"/>
      <c r="FN81" s="113"/>
      <c r="FO81" s="113"/>
      <c r="FP81" s="113"/>
      <c r="FQ81" s="113"/>
      <c r="FR81" s="113"/>
      <c r="FS81" s="113"/>
      <c r="FT81" s="113"/>
      <c r="FU81" s="113"/>
      <c r="FV81" s="113"/>
      <c r="FW81" s="113"/>
      <c r="FX81" s="113"/>
      <c r="FY81" s="113"/>
      <c r="FZ81" s="113"/>
      <c r="GA81" s="113"/>
      <c r="GB81" s="113"/>
      <c r="GC81" s="113"/>
      <c r="GD81" s="113"/>
      <c r="GE81" s="113"/>
      <c r="GF81" s="113"/>
      <c r="GG81" s="113"/>
      <c r="GH81" s="113"/>
      <c r="GI81" s="113"/>
      <c r="GJ81" s="113"/>
      <c r="GK81" s="113"/>
      <c r="GL81" s="113"/>
      <c r="GM81" s="113"/>
      <c r="GN81" s="113"/>
      <c r="GO81" s="113"/>
      <c r="GP81" s="113"/>
      <c r="GQ81" s="113"/>
      <c r="GR81" s="113"/>
      <c r="GS81" s="113"/>
      <c r="GT81" s="113"/>
      <c r="GU81" s="113"/>
      <c r="GV81" s="113"/>
      <c r="GW81" s="113"/>
      <c r="GX81" s="113"/>
      <c r="GY81" s="113"/>
      <c r="GZ81" s="113"/>
      <c r="HA81" s="113"/>
      <c r="HB81" s="113"/>
      <c r="HC81" s="113"/>
      <c r="HD81" s="113"/>
      <c r="HE81" s="113"/>
      <c r="HF81" s="113"/>
      <c r="HG81" s="113"/>
      <c r="HH81" s="113"/>
      <c r="HI81" s="113"/>
      <c r="HJ81" s="113"/>
      <c r="HK81" s="113"/>
      <c r="HL81" s="113"/>
      <c r="HM81" s="113"/>
      <c r="HN81" s="113"/>
      <c r="HO81" s="113"/>
      <c r="HP81" s="113"/>
      <c r="HQ81" s="113"/>
      <c r="HR81" s="113"/>
      <c r="HS81" s="113"/>
      <c r="HT81" s="113"/>
      <c r="HU81" s="113"/>
      <c r="HV81" s="113"/>
      <c r="HW81" s="113"/>
      <c r="HX81" s="113"/>
      <c r="HY81" s="113"/>
      <c r="HZ81" s="113"/>
      <c r="IA81" s="113"/>
      <c r="IB81" s="113"/>
      <c r="IC81" s="113"/>
      <c r="ID81" s="113"/>
      <c r="IE81" s="113"/>
      <c r="IF81" s="113"/>
      <c r="IG81" s="113"/>
      <c r="IH81" s="113"/>
      <c r="II81" s="113"/>
      <c r="IJ81" s="113"/>
      <c r="IK81" s="113"/>
      <c r="IL81" s="113"/>
      <c r="IM81" s="113"/>
      <c r="IN81" s="113"/>
      <c r="IO81" s="113"/>
      <c r="IP81" s="113"/>
      <c r="IQ81" s="113"/>
      <c r="IR81" s="113"/>
      <c r="IS81" s="113"/>
      <c r="IT81" s="113"/>
      <c r="IU81" s="113"/>
      <c r="IV81" s="113"/>
      <c r="IW81" s="113"/>
      <c r="IX81" s="113"/>
      <c r="IY81" s="113"/>
      <c r="IZ81" s="113"/>
      <c r="JA81" s="113"/>
      <c r="JB81" s="113"/>
      <c r="JC81" s="113"/>
      <c r="JD81" s="113"/>
      <c r="JE81" s="113"/>
      <c r="JF81" s="113"/>
      <c r="JG81" s="113"/>
      <c r="JH81" s="113"/>
      <c r="JI81" s="113"/>
      <c r="JJ81" s="113"/>
      <c r="JK81" s="113"/>
      <c r="JL81" s="113"/>
      <c r="JM81" s="113"/>
      <c r="JN81" s="113"/>
      <c r="JO81" s="113"/>
      <c r="JP81" s="113"/>
      <c r="JQ81" s="113"/>
      <c r="JR81" s="113"/>
    </row>
    <row r="82" spans="1:342" ht="13" x14ac:dyDescent="0.3">
      <c r="A82" s="59" t="s">
        <v>81</v>
      </c>
      <c r="B82" s="465">
        <f t="shared" ref="B82:G82" si="7">SUM(B83:B86)</f>
        <v>0</v>
      </c>
      <c r="C82" s="465">
        <f t="shared" si="7"/>
        <v>0</v>
      </c>
      <c r="D82" s="465">
        <f t="shared" si="7"/>
        <v>0</v>
      </c>
      <c r="E82" s="465">
        <f t="shared" si="7"/>
        <v>0</v>
      </c>
      <c r="F82" s="465">
        <f t="shared" si="7"/>
        <v>0</v>
      </c>
      <c r="G82" s="465">
        <f t="shared" si="7"/>
        <v>0</v>
      </c>
      <c r="H82" s="316"/>
    </row>
    <row r="83" spans="1:342" outlineLevel="1" x14ac:dyDescent="0.25">
      <c r="A83" s="8" t="s">
        <v>217</v>
      </c>
      <c r="B83" s="312"/>
      <c r="C83" s="312"/>
      <c r="D83" s="313"/>
      <c r="E83" s="313"/>
      <c r="F83" s="312"/>
      <c r="G83" s="312"/>
      <c r="H83" s="316"/>
    </row>
    <row r="84" spans="1:342" outlineLevel="1" x14ac:dyDescent="0.25">
      <c r="A84" s="8" t="s">
        <v>40</v>
      </c>
      <c r="B84" s="312"/>
      <c r="C84" s="312"/>
      <c r="D84" s="313"/>
      <c r="E84" s="313"/>
      <c r="F84" s="312"/>
      <c r="G84" s="312"/>
      <c r="H84" s="316"/>
    </row>
    <row r="85" spans="1:342" outlineLevel="1" x14ac:dyDescent="0.25">
      <c r="A85" s="8" t="s">
        <v>175</v>
      </c>
      <c r="B85" s="312"/>
      <c r="C85" s="312"/>
      <c r="D85" s="313"/>
      <c r="E85" s="313"/>
      <c r="F85" s="312"/>
      <c r="G85" s="312"/>
      <c r="H85" s="316"/>
    </row>
    <row r="86" spans="1:342" ht="13" outlineLevel="1" x14ac:dyDescent="0.3">
      <c r="A86" s="323" t="s">
        <v>173</v>
      </c>
      <c r="B86" s="312"/>
      <c r="C86" s="314"/>
      <c r="D86" s="313"/>
      <c r="E86" s="313"/>
      <c r="F86" s="314"/>
      <c r="G86" s="314"/>
      <c r="H86" s="316"/>
    </row>
    <row r="87" spans="1:342" x14ac:dyDescent="0.25">
      <c r="A87" s="115" t="s">
        <v>100</v>
      </c>
      <c r="B87" s="338"/>
      <c r="C87" s="338"/>
      <c r="D87" s="338"/>
      <c r="E87" s="338"/>
      <c r="F87" s="338"/>
      <c r="G87" s="338"/>
      <c r="H87" s="316"/>
    </row>
    <row r="88" spans="1:342" s="13" customFormat="1" x14ac:dyDescent="0.25">
      <c r="A88" s="115" t="s">
        <v>370</v>
      </c>
      <c r="B88" s="339"/>
      <c r="C88" s="339"/>
      <c r="D88" s="339"/>
      <c r="E88" s="339"/>
      <c r="F88" s="339"/>
      <c r="G88" s="339"/>
      <c r="H88" s="468"/>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3"/>
      <c r="CW88" s="113"/>
      <c r="CX88" s="113"/>
      <c r="CY88" s="113"/>
      <c r="CZ88" s="113"/>
      <c r="DA88" s="113"/>
      <c r="DB88" s="113"/>
      <c r="DC88" s="113"/>
      <c r="DD88" s="113"/>
      <c r="DE88" s="113"/>
      <c r="DF88" s="113"/>
      <c r="DG88" s="113"/>
      <c r="DH88" s="113"/>
      <c r="DI88" s="113"/>
      <c r="DJ88" s="113"/>
      <c r="DK88" s="113"/>
      <c r="DL88" s="113"/>
      <c r="DM88" s="113"/>
      <c r="DN88" s="113"/>
      <c r="DO88" s="113"/>
      <c r="DP88" s="113"/>
      <c r="DQ88" s="113"/>
      <c r="DR88" s="113"/>
      <c r="DS88" s="113"/>
      <c r="DT88" s="113"/>
      <c r="DU88" s="113"/>
      <c r="DV88" s="113"/>
      <c r="DW88" s="113"/>
      <c r="DX88" s="113"/>
      <c r="DY88" s="113"/>
      <c r="DZ88" s="113"/>
      <c r="EA88" s="113"/>
      <c r="EB88" s="113"/>
      <c r="EC88" s="113"/>
      <c r="ED88" s="113"/>
      <c r="EE88" s="113"/>
      <c r="EF88" s="113"/>
      <c r="EG88" s="113"/>
      <c r="EH88" s="113"/>
      <c r="EI88" s="113"/>
      <c r="EJ88" s="113"/>
      <c r="EK88" s="113"/>
      <c r="EL88" s="113"/>
      <c r="EM88" s="113"/>
      <c r="EN88" s="113"/>
      <c r="EO88" s="113"/>
      <c r="EP88" s="113"/>
      <c r="EQ88" s="113"/>
      <c r="ER88" s="113"/>
      <c r="ES88" s="113"/>
      <c r="ET88" s="113"/>
      <c r="EU88" s="113"/>
      <c r="EV88" s="113"/>
      <c r="EW88" s="113"/>
      <c r="EX88" s="113"/>
      <c r="EY88" s="113"/>
      <c r="EZ88" s="113"/>
      <c r="FA88" s="113"/>
      <c r="FB88" s="113"/>
      <c r="FC88" s="113"/>
      <c r="FD88" s="113"/>
      <c r="FE88" s="113"/>
      <c r="FF88" s="113"/>
      <c r="FG88" s="113"/>
      <c r="FH88" s="113"/>
      <c r="FI88" s="113"/>
      <c r="FJ88" s="113"/>
      <c r="FK88" s="113"/>
      <c r="FL88" s="113"/>
      <c r="FM88" s="113"/>
      <c r="FN88" s="113"/>
      <c r="FO88" s="113"/>
      <c r="FP88" s="113"/>
      <c r="FQ88" s="113"/>
      <c r="FR88" s="113"/>
      <c r="FS88" s="113"/>
      <c r="FT88" s="113"/>
      <c r="FU88" s="113"/>
      <c r="FV88" s="113"/>
      <c r="FW88" s="113"/>
      <c r="FX88" s="113"/>
      <c r="FY88" s="113"/>
      <c r="FZ88" s="113"/>
      <c r="GA88" s="113"/>
      <c r="GB88" s="113"/>
      <c r="GC88" s="113"/>
      <c r="GD88" s="113"/>
      <c r="GE88" s="113"/>
      <c r="GF88" s="113"/>
      <c r="GG88" s="113"/>
      <c r="GH88" s="113"/>
      <c r="GI88" s="113"/>
      <c r="GJ88" s="113"/>
      <c r="GK88" s="113"/>
      <c r="GL88" s="113"/>
      <c r="GM88" s="113"/>
      <c r="GN88" s="113"/>
      <c r="GO88" s="113"/>
      <c r="GP88" s="113"/>
      <c r="GQ88" s="113"/>
      <c r="GR88" s="113"/>
      <c r="GS88" s="113"/>
      <c r="GT88" s="113"/>
      <c r="GU88" s="113"/>
      <c r="GV88" s="113"/>
      <c r="GW88" s="113"/>
      <c r="GX88" s="113"/>
      <c r="GY88" s="113"/>
      <c r="GZ88" s="113"/>
      <c r="HA88" s="113"/>
      <c r="HB88" s="113"/>
      <c r="HC88" s="113"/>
      <c r="HD88" s="113"/>
      <c r="HE88" s="113"/>
      <c r="HF88" s="113"/>
      <c r="HG88" s="113"/>
      <c r="HH88" s="113"/>
      <c r="HI88" s="113"/>
      <c r="HJ88" s="113"/>
      <c r="HK88" s="113"/>
      <c r="HL88" s="113"/>
      <c r="HM88" s="113"/>
      <c r="HN88" s="113"/>
      <c r="HO88" s="113"/>
      <c r="HP88" s="113"/>
      <c r="HQ88" s="113"/>
      <c r="HR88" s="113"/>
      <c r="HS88" s="113"/>
      <c r="HT88" s="113"/>
      <c r="HU88" s="113"/>
      <c r="HV88" s="113"/>
      <c r="HW88" s="113"/>
      <c r="HX88" s="113"/>
      <c r="HY88" s="113"/>
      <c r="HZ88" s="113"/>
      <c r="IA88" s="113"/>
      <c r="IB88" s="113"/>
      <c r="IC88" s="113"/>
      <c r="ID88" s="113"/>
      <c r="IE88" s="113"/>
      <c r="IF88" s="113"/>
      <c r="IG88" s="113"/>
      <c r="IH88" s="113"/>
      <c r="II88" s="113"/>
      <c r="IJ88" s="113"/>
      <c r="IK88" s="113"/>
      <c r="IL88" s="113"/>
      <c r="IM88" s="113"/>
      <c r="IN88" s="113"/>
      <c r="IO88" s="113"/>
      <c r="IP88" s="113"/>
      <c r="IQ88" s="113"/>
      <c r="IR88" s="113"/>
      <c r="IS88" s="113"/>
      <c r="IT88" s="113"/>
      <c r="IU88" s="113"/>
      <c r="IV88" s="113"/>
      <c r="IW88" s="113"/>
      <c r="IX88" s="113"/>
      <c r="IY88" s="113"/>
      <c r="IZ88" s="113"/>
      <c r="JA88" s="113"/>
      <c r="JB88" s="113"/>
      <c r="JC88" s="113"/>
      <c r="JD88" s="113"/>
      <c r="JE88" s="113"/>
      <c r="JF88" s="113"/>
      <c r="JG88" s="113"/>
      <c r="JH88" s="113"/>
      <c r="JI88" s="113"/>
      <c r="JJ88" s="113"/>
      <c r="JK88" s="113"/>
      <c r="JL88" s="113"/>
      <c r="JM88" s="113"/>
      <c r="JN88" s="113"/>
      <c r="JO88" s="113"/>
      <c r="JP88" s="113"/>
      <c r="JQ88" s="113"/>
      <c r="JR88" s="113"/>
      <c r="JS88" s="113"/>
      <c r="JT88" s="113"/>
      <c r="JU88" s="113"/>
      <c r="JV88" s="113"/>
      <c r="JW88" s="113"/>
      <c r="JX88" s="113"/>
      <c r="JY88" s="113"/>
      <c r="JZ88" s="113"/>
      <c r="KA88" s="113"/>
      <c r="KB88" s="113"/>
      <c r="KC88" s="113"/>
      <c r="KD88" s="113"/>
      <c r="KE88" s="113"/>
      <c r="KF88" s="113"/>
      <c r="KG88" s="113"/>
      <c r="KH88" s="113"/>
      <c r="KI88" s="113"/>
      <c r="KJ88" s="113"/>
      <c r="KK88" s="113"/>
      <c r="KL88" s="113"/>
      <c r="KM88" s="113"/>
      <c r="KN88" s="113"/>
      <c r="KO88" s="113"/>
      <c r="KP88" s="113"/>
      <c r="KQ88" s="113"/>
      <c r="KR88" s="113"/>
      <c r="KS88" s="113"/>
      <c r="KT88" s="113"/>
      <c r="KU88" s="113"/>
      <c r="KV88" s="113"/>
      <c r="KW88" s="113"/>
      <c r="KX88" s="113"/>
      <c r="KY88" s="113"/>
      <c r="KZ88" s="113"/>
      <c r="LA88" s="113"/>
      <c r="LB88" s="113"/>
      <c r="LC88" s="113"/>
      <c r="LD88" s="113"/>
      <c r="LE88" s="113"/>
      <c r="LF88" s="113"/>
      <c r="LG88" s="113"/>
      <c r="LH88" s="113"/>
      <c r="LI88" s="113"/>
      <c r="LJ88" s="113"/>
      <c r="LK88" s="113"/>
      <c r="LL88" s="113"/>
      <c r="LM88" s="113"/>
      <c r="LN88" s="113"/>
      <c r="LO88" s="113"/>
      <c r="LP88" s="113"/>
      <c r="LQ88" s="113"/>
      <c r="LR88" s="113"/>
      <c r="LS88" s="113"/>
      <c r="LT88" s="113"/>
      <c r="LU88" s="113"/>
      <c r="LV88" s="113"/>
      <c r="LW88" s="113"/>
      <c r="LX88" s="113"/>
      <c r="LY88" s="113"/>
      <c r="LZ88" s="113"/>
      <c r="MA88" s="113"/>
      <c r="MB88" s="113"/>
      <c r="MC88" s="113"/>
      <c r="MD88" s="113"/>
    </row>
    <row r="89" spans="1:342" s="13" customFormat="1" x14ac:dyDescent="0.25">
      <c r="A89" s="115" t="s">
        <v>42</v>
      </c>
      <c r="B89" s="339"/>
      <c r="C89" s="339"/>
      <c r="D89" s="339"/>
      <c r="E89" s="339"/>
      <c r="F89" s="339"/>
      <c r="G89" s="339"/>
      <c r="H89" s="466"/>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c r="BL89" s="113"/>
      <c r="BM89" s="113"/>
      <c r="BN89" s="113"/>
      <c r="BO89" s="113"/>
      <c r="BP89" s="113"/>
      <c r="BQ89" s="113"/>
      <c r="BR89" s="113"/>
      <c r="BS89" s="113"/>
      <c r="BT89" s="113"/>
      <c r="BU89" s="113"/>
      <c r="BV89" s="113"/>
      <c r="BW89" s="113"/>
      <c r="BX89" s="113"/>
      <c r="BY89" s="113"/>
      <c r="BZ89" s="113"/>
      <c r="CA89" s="113"/>
      <c r="CB89" s="113"/>
      <c r="CC89" s="113"/>
      <c r="CD89" s="113"/>
      <c r="CE89" s="113"/>
      <c r="CF89" s="113"/>
      <c r="CG89" s="113"/>
      <c r="CH89" s="113"/>
      <c r="CI89" s="113"/>
      <c r="CJ89" s="113"/>
      <c r="CK89" s="113"/>
      <c r="CL89" s="113"/>
      <c r="CM89" s="113"/>
      <c r="CN89" s="113"/>
      <c r="CO89" s="113"/>
      <c r="CP89" s="113"/>
      <c r="CQ89" s="113"/>
      <c r="CR89" s="113"/>
      <c r="CS89" s="113"/>
      <c r="CT89" s="113"/>
      <c r="CU89" s="113"/>
      <c r="CV89" s="113"/>
      <c r="CW89" s="113"/>
      <c r="CX89" s="113"/>
      <c r="CY89" s="113"/>
      <c r="CZ89" s="113"/>
      <c r="DA89" s="113"/>
      <c r="DB89" s="113"/>
      <c r="DC89" s="113"/>
      <c r="DD89" s="113"/>
      <c r="DE89" s="113"/>
      <c r="DF89" s="113"/>
      <c r="DG89" s="113"/>
      <c r="DH89" s="113"/>
      <c r="DI89" s="113"/>
      <c r="DJ89" s="113"/>
      <c r="DK89" s="113"/>
      <c r="DL89" s="113"/>
      <c r="DM89" s="113"/>
      <c r="DN89" s="113"/>
      <c r="DO89" s="113"/>
      <c r="DP89" s="113"/>
      <c r="DQ89" s="113"/>
      <c r="DR89" s="113"/>
      <c r="DS89" s="113"/>
      <c r="DT89" s="113"/>
      <c r="DU89" s="113"/>
      <c r="DV89" s="113"/>
      <c r="DW89" s="113"/>
      <c r="DX89" s="113"/>
      <c r="DY89" s="113"/>
      <c r="DZ89" s="113"/>
      <c r="EA89" s="113"/>
      <c r="EB89" s="113"/>
      <c r="EC89" s="113"/>
      <c r="ED89" s="113"/>
      <c r="EE89" s="113"/>
      <c r="EF89" s="113"/>
      <c r="EG89" s="113"/>
      <c r="EH89" s="113"/>
      <c r="EI89" s="113"/>
      <c r="EJ89" s="113"/>
      <c r="EK89" s="113"/>
      <c r="EL89" s="113"/>
      <c r="EM89" s="113"/>
      <c r="EN89" s="113"/>
      <c r="EO89" s="113"/>
      <c r="EP89" s="113"/>
      <c r="EQ89" s="113"/>
      <c r="ER89" s="113"/>
      <c r="ES89" s="113"/>
      <c r="ET89" s="113"/>
      <c r="EU89" s="113"/>
      <c r="EV89" s="113"/>
      <c r="EW89" s="113"/>
      <c r="EX89" s="113"/>
      <c r="EY89" s="113"/>
      <c r="EZ89" s="113"/>
      <c r="FA89" s="113"/>
      <c r="FB89" s="113"/>
      <c r="FC89" s="113"/>
      <c r="FD89" s="113"/>
      <c r="FE89" s="113"/>
      <c r="FF89" s="113"/>
      <c r="FG89" s="113"/>
      <c r="FH89" s="113"/>
      <c r="FI89" s="113"/>
      <c r="FJ89" s="113"/>
      <c r="FK89" s="113"/>
      <c r="FL89" s="113"/>
      <c r="FM89" s="113"/>
      <c r="FN89" s="113"/>
      <c r="FO89" s="113"/>
      <c r="FP89" s="113"/>
      <c r="FQ89" s="113"/>
      <c r="FR89" s="113"/>
      <c r="FS89" s="113"/>
      <c r="FT89" s="113"/>
      <c r="FU89" s="113"/>
      <c r="FV89" s="113"/>
      <c r="FW89" s="113"/>
      <c r="FX89" s="113"/>
      <c r="FY89" s="113"/>
      <c r="FZ89" s="113"/>
      <c r="GA89" s="113"/>
      <c r="GB89" s="113"/>
      <c r="GC89" s="113"/>
      <c r="GD89" s="113"/>
      <c r="GE89" s="113"/>
      <c r="GF89" s="113"/>
      <c r="GG89" s="113"/>
      <c r="GH89" s="113"/>
      <c r="GI89" s="113"/>
      <c r="GJ89" s="113"/>
      <c r="GK89" s="113"/>
      <c r="GL89" s="113"/>
      <c r="GM89" s="113"/>
      <c r="GN89" s="113"/>
      <c r="GO89" s="113"/>
      <c r="GP89" s="113"/>
      <c r="GQ89" s="113"/>
      <c r="GR89" s="113"/>
      <c r="GS89" s="113"/>
      <c r="GT89" s="113"/>
      <c r="GU89" s="113"/>
      <c r="GV89" s="113"/>
      <c r="GW89" s="113"/>
      <c r="GX89" s="113"/>
      <c r="GY89" s="113"/>
      <c r="GZ89" s="113"/>
      <c r="HA89" s="113"/>
      <c r="HB89" s="113"/>
      <c r="HC89" s="113"/>
      <c r="HD89" s="113"/>
      <c r="HE89" s="113"/>
      <c r="HF89" s="113"/>
      <c r="HG89" s="113"/>
      <c r="HH89" s="113"/>
      <c r="HI89" s="113"/>
      <c r="HJ89" s="113"/>
      <c r="HK89" s="113"/>
      <c r="HL89" s="113"/>
      <c r="HM89" s="113"/>
      <c r="HN89" s="113"/>
      <c r="HO89" s="113"/>
      <c r="HP89" s="113"/>
      <c r="HQ89" s="113"/>
      <c r="HR89" s="113"/>
      <c r="HS89" s="113"/>
      <c r="HT89" s="113"/>
      <c r="HU89" s="113"/>
      <c r="HV89" s="113"/>
      <c r="HW89" s="113"/>
      <c r="HX89" s="113"/>
      <c r="HY89" s="113"/>
      <c r="HZ89" s="113"/>
      <c r="IA89" s="113"/>
      <c r="IB89" s="113"/>
      <c r="IC89" s="113"/>
      <c r="ID89" s="113"/>
      <c r="IE89" s="113"/>
      <c r="IF89" s="113"/>
      <c r="IG89" s="113"/>
      <c r="IH89" s="113"/>
      <c r="II89" s="113"/>
      <c r="IJ89" s="113"/>
      <c r="IK89" s="113"/>
      <c r="IL89" s="113"/>
      <c r="IM89" s="113"/>
      <c r="IN89" s="113"/>
      <c r="IO89" s="113"/>
      <c r="IP89" s="113"/>
      <c r="IQ89" s="113"/>
      <c r="IR89" s="113"/>
      <c r="IS89" s="113"/>
      <c r="IT89" s="113"/>
      <c r="IU89" s="113"/>
      <c r="IV89" s="113"/>
      <c r="IW89" s="113"/>
      <c r="IX89" s="113"/>
      <c r="IY89" s="113"/>
      <c r="IZ89" s="113"/>
      <c r="JA89" s="113"/>
      <c r="JB89" s="113"/>
      <c r="JC89" s="113"/>
      <c r="JD89" s="113"/>
      <c r="JE89" s="113"/>
      <c r="JF89" s="113"/>
      <c r="JG89" s="113"/>
      <c r="JH89" s="113"/>
      <c r="JI89" s="113"/>
      <c r="JJ89" s="113"/>
      <c r="JK89" s="113"/>
      <c r="JL89" s="113"/>
      <c r="JM89" s="113"/>
      <c r="JN89" s="113"/>
      <c r="JO89" s="113"/>
      <c r="JP89" s="113"/>
      <c r="JQ89" s="113"/>
      <c r="JR89" s="113"/>
      <c r="JS89" s="113"/>
      <c r="JT89" s="113"/>
      <c r="JU89" s="113"/>
      <c r="JV89" s="113"/>
      <c r="JW89" s="113"/>
      <c r="JX89" s="113"/>
      <c r="JY89" s="113"/>
      <c r="JZ89" s="113"/>
      <c r="KA89" s="113"/>
      <c r="KB89" s="113"/>
      <c r="KC89" s="113"/>
      <c r="KD89" s="113"/>
      <c r="KE89" s="113"/>
      <c r="KF89" s="113"/>
      <c r="KG89" s="113"/>
      <c r="KH89" s="113"/>
      <c r="KI89" s="113"/>
      <c r="KJ89" s="113"/>
      <c r="KK89" s="113"/>
      <c r="KL89" s="113"/>
      <c r="KM89" s="113"/>
      <c r="KN89" s="113"/>
      <c r="KO89" s="113"/>
      <c r="KP89" s="113"/>
      <c r="KQ89" s="113"/>
      <c r="KR89" s="113"/>
      <c r="KS89" s="113"/>
      <c r="KT89" s="113"/>
      <c r="KU89" s="113"/>
      <c r="KV89" s="113"/>
      <c r="KW89" s="113"/>
      <c r="KX89" s="113"/>
      <c r="KY89" s="113"/>
      <c r="KZ89" s="113"/>
      <c r="LA89" s="113"/>
      <c r="LB89" s="113"/>
      <c r="LC89" s="113"/>
      <c r="LD89" s="113"/>
      <c r="LE89" s="113"/>
      <c r="LF89" s="113"/>
      <c r="LG89" s="113"/>
      <c r="LH89" s="113"/>
      <c r="LI89" s="113"/>
      <c r="LJ89" s="113"/>
      <c r="LK89" s="113"/>
      <c r="LL89" s="113"/>
      <c r="LM89" s="113"/>
      <c r="LN89" s="113"/>
      <c r="LO89" s="113"/>
      <c r="LP89" s="113"/>
      <c r="LQ89" s="113"/>
      <c r="LR89" s="113"/>
      <c r="LS89" s="113"/>
      <c r="LT89" s="113"/>
      <c r="LU89" s="113"/>
      <c r="LV89" s="113"/>
      <c r="LW89" s="113"/>
      <c r="LX89" s="113"/>
      <c r="LY89" s="113"/>
      <c r="LZ89" s="113"/>
      <c r="MA89" s="113"/>
      <c r="MB89" s="113"/>
      <c r="MC89" s="113"/>
      <c r="MD89" s="113"/>
    </row>
    <row r="90" spans="1:342" s="13" customFormat="1" x14ac:dyDescent="0.25">
      <c r="A90" s="115" t="s">
        <v>282</v>
      </c>
      <c r="B90" s="312"/>
      <c r="C90" s="312"/>
      <c r="D90" s="312"/>
      <c r="E90" s="312"/>
      <c r="F90" s="312"/>
      <c r="G90" s="312"/>
      <c r="H90" s="466"/>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3"/>
      <c r="CW90" s="113"/>
      <c r="CX90" s="113"/>
      <c r="CY90" s="113"/>
      <c r="CZ90" s="113"/>
      <c r="DA90" s="113"/>
      <c r="DB90" s="113"/>
      <c r="DC90" s="113"/>
      <c r="DD90" s="113"/>
      <c r="DE90" s="113"/>
      <c r="DF90" s="113"/>
      <c r="DG90" s="113"/>
      <c r="DH90" s="113"/>
      <c r="DI90" s="113"/>
      <c r="DJ90" s="113"/>
      <c r="DK90" s="113"/>
      <c r="DL90" s="113"/>
      <c r="DM90" s="113"/>
      <c r="DN90" s="113"/>
      <c r="DO90" s="113"/>
      <c r="DP90" s="113"/>
      <c r="DQ90" s="113"/>
      <c r="DR90" s="113"/>
      <c r="DS90" s="113"/>
      <c r="DT90" s="113"/>
      <c r="DU90" s="113"/>
      <c r="DV90" s="113"/>
      <c r="DW90" s="113"/>
      <c r="DX90" s="113"/>
      <c r="DY90" s="113"/>
      <c r="DZ90" s="113"/>
      <c r="EA90" s="113"/>
      <c r="EB90" s="113"/>
      <c r="EC90" s="113"/>
      <c r="ED90" s="113"/>
      <c r="EE90" s="113"/>
      <c r="EF90" s="113"/>
      <c r="EG90" s="113"/>
      <c r="EH90" s="113"/>
      <c r="EI90" s="113"/>
      <c r="EJ90" s="113"/>
      <c r="EK90" s="113"/>
      <c r="EL90" s="113"/>
      <c r="EM90" s="113"/>
      <c r="EN90" s="113"/>
      <c r="EO90" s="113"/>
      <c r="EP90" s="113"/>
      <c r="EQ90" s="113"/>
      <c r="ER90" s="113"/>
      <c r="ES90" s="113"/>
      <c r="ET90" s="113"/>
      <c r="EU90" s="113"/>
      <c r="EV90" s="113"/>
      <c r="EW90" s="113"/>
      <c r="EX90" s="113"/>
      <c r="EY90" s="113"/>
      <c r="EZ90" s="113"/>
      <c r="FA90" s="113"/>
      <c r="FB90" s="113"/>
      <c r="FC90" s="113"/>
      <c r="FD90" s="113"/>
      <c r="FE90" s="113"/>
      <c r="FF90" s="113"/>
      <c r="FG90" s="113"/>
      <c r="FH90" s="113"/>
      <c r="FI90" s="113"/>
      <c r="FJ90" s="113"/>
      <c r="FK90" s="113"/>
      <c r="FL90" s="113"/>
      <c r="FM90" s="113"/>
      <c r="FN90" s="113"/>
      <c r="FO90" s="113"/>
      <c r="FP90" s="113"/>
      <c r="FQ90" s="113"/>
      <c r="FR90" s="113"/>
      <c r="FS90" s="113"/>
      <c r="FT90" s="113"/>
      <c r="FU90" s="113"/>
      <c r="FV90" s="113"/>
      <c r="FW90" s="113"/>
      <c r="FX90" s="113"/>
      <c r="FY90" s="113"/>
      <c r="FZ90" s="113"/>
      <c r="GA90" s="113"/>
      <c r="GB90" s="113"/>
      <c r="GC90" s="113"/>
      <c r="GD90" s="113"/>
      <c r="GE90" s="113"/>
      <c r="GF90" s="113"/>
      <c r="GG90" s="113"/>
      <c r="GH90" s="113"/>
      <c r="GI90" s="113"/>
      <c r="GJ90" s="113"/>
      <c r="GK90" s="113"/>
      <c r="GL90" s="113"/>
      <c r="GM90" s="113"/>
      <c r="GN90" s="113"/>
      <c r="GO90" s="113"/>
      <c r="GP90" s="113"/>
      <c r="GQ90" s="113"/>
      <c r="GR90" s="113"/>
      <c r="GS90" s="113"/>
      <c r="GT90" s="113"/>
      <c r="GU90" s="113"/>
      <c r="GV90" s="113"/>
      <c r="GW90" s="113"/>
      <c r="GX90" s="113"/>
      <c r="GY90" s="113"/>
      <c r="GZ90" s="113"/>
      <c r="HA90" s="113"/>
      <c r="HB90" s="113"/>
      <c r="HC90" s="113"/>
      <c r="HD90" s="113"/>
      <c r="HE90" s="113"/>
      <c r="HF90" s="113"/>
      <c r="HG90" s="113"/>
      <c r="HH90" s="113"/>
      <c r="HI90" s="113"/>
      <c r="HJ90" s="113"/>
      <c r="HK90" s="113"/>
      <c r="HL90" s="113"/>
      <c r="HM90" s="113"/>
      <c r="HN90" s="113"/>
      <c r="HO90" s="113"/>
      <c r="HP90" s="113"/>
      <c r="HQ90" s="113"/>
      <c r="HR90" s="113"/>
      <c r="HS90" s="113"/>
      <c r="HT90" s="113"/>
      <c r="HU90" s="113"/>
      <c r="HV90" s="113"/>
      <c r="HW90" s="113"/>
      <c r="HX90" s="113"/>
      <c r="HY90" s="113"/>
      <c r="HZ90" s="113"/>
      <c r="IA90" s="113"/>
      <c r="IB90" s="113"/>
      <c r="IC90" s="113"/>
      <c r="ID90" s="113"/>
      <c r="IE90" s="113"/>
      <c r="IF90" s="113"/>
      <c r="IG90" s="113"/>
      <c r="IH90" s="113"/>
      <c r="II90" s="113"/>
      <c r="IJ90" s="113"/>
      <c r="IK90" s="113"/>
      <c r="IL90" s="113"/>
      <c r="IM90" s="113"/>
      <c r="IN90" s="113"/>
      <c r="IO90" s="113"/>
      <c r="IP90" s="113"/>
      <c r="IQ90" s="113"/>
      <c r="IR90" s="113"/>
      <c r="IS90" s="113"/>
      <c r="IT90" s="113"/>
      <c r="IU90" s="113"/>
      <c r="IV90" s="113"/>
      <c r="IW90" s="113"/>
      <c r="IX90" s="113"/>
      <c r="IY90" s="113"/>
      <c r="IZ90" s="113"/>
      <c r="JA90" s="113"/>
      <c r="JB90" s="113"/>
      <c r="JC90" s="113"/>
      <c r="JD90" s="113"/>
      <c r="JE90" s="113"/>
      <c r="JF90" s="113"/>
      <c r="JG90" s="113"/>
      <c r="JH90" s="113"/>
      <c r="JI90" s="113"/>
      <c r="JJ90" s="113"/>
      <c r="JK90" s="113"/>
      <c r="JL90" s="113"/>
      <c r="JM90" s="113"/>
      <c r="JN90" s="113"/>
      <c r="JO90" s="113"/>
      <c r="JP90" s="113"/>
      <c r="JQ90" s="113"/>
      <c r="JR90" s="113"/>
      <c r="JS90" s="113"/>
      <c r="JT90" s="113"/>
      <c r="JU90" s="113"/>
      <c r="JV90" s="113"/>
      <c r="JW90" s="113"/>
      <c r="JX90" s="113"/>
      <c r="JY90" s="113"/>
      <c r="JZ90" s="113"/>
      <c r="KA90" s="113"/>
      <c r="KB90" s="113"/>
      <c r="KC90" s="113"/>
      <c r="KD90" s="113"/>
      <c r="KE90" s="113"/>
      <c r="KF90" s="113"/>
      <c r="KG90" s="113"/>
      <c r="KH90" s="113"/>
      <c r="KI90" s="113"/>
      <c r="KJ90" s="113"/>
      <c r="KK90" s="113"/>
      <c r="KL90" s="113"/>
      <c r="KM90" s="113"/>
      <c r="KN90" s="113"/>
      <c r="KO90" s="113"/>
      <c r="KP90" s="113"/>
      <c r="KQ90" s="113"/>
      <c r="KR90" s="113"/>
      <c r="KS90" s="113"/>
      <c r="KT90" s="113"/>
      <c r="KU90" s="113"/>
      <c r="KV90" s="113"/>
      <c r="KW90" s="113"/>
      <c r="KX90" s="113"/>
      <c r="KY90" s="113"/>
      <c r="KZ90" s="113"/>
      <c r="LA90" s="113"/>
      <c r="LB90" s="113"/>
      <c r="LC90" s="113"/>
      <c r="LD90" s="113"/>
      <c r="LE90" s="113"/>
      <c r="LF90" s="113"/>
      <c r="LG90" s="113"/>
      <c r="LH90" s="113"/>
      <c r="LI90" s="113"/>
      <c r="LJ90" s="113"/>
      <c r="LK90" s="113"/>
      <c r="LL90" s="113"/>
      <c r="LM90" s="113"/>
      <c r="LN90" s="113"/>
      <c r="LO90" s="113"/>
      <c r="LP90" s="113"/>
      <c r="LQ90" s="113"/>
      <c r="LR90" s="113"/>
      <c r="LS90" s="113"/>
      <c r="LT90" s="113"/>
      <c r="LU90" s="113"/>
      <c r="LV90" s="113"/>
      <c r="LW90" s="113"/>
      <c r="LX90" s="113"/>
      <c r="LY90" s="113"/>
      <c r="LZ90" s="113"/>
      <c r="MA90" s="113"/>
      <c r="MB90" s="113"/>
      <c r="MC90" s="113"/>
      <c r="MD90" s="113"/>
    </row>
    <row r="91" spans="1:342" s="13" customFormat="1" x14ac:dyDescent="0.25">
      <c r="A91" s="115" t="s">
        <v>90</v>
      </c>
      <c r="B91" s="312"/>
      <c r="C91" s="312"/>
      <c r="D91" s="312"/>
      <c r="E91" s="312"/>
      <c r="F91" s="312"/>
      <c r="G91" s="312"/>
      <c r="H91" s="466"/>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c r="BJ91" s="113"/>
      <c r="BK91" s="113"/>
      <c r="BL91" s="113"/>
      <c r="BM91" s="113"/>
      <c r="BN91" s="113"/>
      <c r="BO91" s="113"/>
      <c r="BP91" s="113"/>
      <c r="BQ91" s="113"/>
      <c r="BR91" s="113"/>
      <c r="BS91" s="113"/>
      <c r="BT91" s="113"/>
      <c r="BU91" s="113"/>
      <c r="BV91" s="113"/>
      <c r="BW91" s="113"/>
      <c r="BX91" s="113"/>
      <c r="BY91" s="113"/>
      <c r="BZ91" s="113"/>
      <c r="CA91" s="113"/>
      <c r="CB91" s="113"/>
      <c r="CC91" s="113"/>
      <c r="CD91" s="113"/>
      <c r="CE91" s="113"/>
      <c r="CF91" s="113"/>
      <c r="CG91" s="113"/>
      <c r="CH91" s="113"/>
      <c r="CI91" s="113"/>
      <c r="CJ91" s="113"/>
      <c r="CK91" s="113"/>
      <c r="CL91" s="113"/>
      <c r="CM91" s="113"/>
      <c r="CN91" s="113"/>
      <c r="CO91" s="113"/>
      <c r="CP91" s="113"/>
      <c r="CQ91" s="113"/>
      <c r="CR91" s="113"/>
      <c r="CS91" s="113"/>
      <c r="CT91" s="113"/>
      <c r="CU91" s="113"/>
      <c r="CV91" s="113"/>
      <c r="CW91" s="113"/>
      <c r="CX91" s="113"/>
      <c r="CY91" s="113"/>
      <c r="CZ91" s="113"/>
      <c r="DA91" s="113"/>
      <c r="DB91" s="113"/>
      <c r="DC91" s="113"/>
      <c r="DD91" s="113"/>
      <c r="DE91" s="113"/>
      <c r="DF91" s="113"/>
      <c r="DG91" s="113"/>
      <c r="DH91" s="113"/>
      <c r="DI91" s="113"/>
      <c r="DJ91" s="113"/>
      <c r="DK91" s="113"/>
      <c r="DL91" s="113"/>
      <c r="DM91" s="113"/>
      <c r="DN91" s="113"/>
      <c r="DO91" s="113"/>
      <c r="DP91" s="113"/>
      <c r="DQ91" s="113"/>
      <c r="DR91" s="113"/>
      <c r="DS91" s="113"/>
      <c r="DT91" s="113"/>
      <c r="DU91" s="113"/>
      <c r="DV91" s="113"/>
      <c r="DW91" s="113"/>
      <c r="DX91" s="113"/>
      <c r="DY91" s="113"/>
      <c r="DZ91" s="113"/>
      <c r="EA91" s="113"/>
      <c r="EB91" s="113"/>
      <c r="EC91" s="113"/>
      <c r="ED91" s="113"/>
      <c r="EE91" s="113"/>
      <c r="EF91" s="113"/>
      <c r="EG91" s="113"/>
      <c r="EH91" s="113"/>
      <c r="EI91" s="113"/>
      <c r="EJ91" s="113"/>
      <c r="EK91" s="113"/>
      <c r="EL91" s="113"/>
      <c r="EM91" s="113"/>
      <c r="EN91" s="113"/>
      <c r="EO91" s="113"/>
      <c r="EP91" s="113"/>
      <c r="EQ91" s="113"/>
      <c r="ER91" s="113"/>
      <c r="ES91" s="113"/>
      <c r="ET91" s="113"/>
      <c r="EU91" s="113"/>
      <c r="EV91" s="113"/>
      <c r="EW91" s="113"/>
      <c r="EX91" s="113"/>
      <c r="EY91" s="113"/>
      <c r="EZ91" s="113"/>
      <c r="FA91" s="113"/>
      <c r="FB91" s="113"/>
      <c r="FC91" s="113"/>
      <c r="FD91" s="113"/>
      <c r="FE91" s="113"/>
      <c r="FF91" s="113"/>
      <c r="FG91" s="113"/>
      <c r="FH91" s="113"/>
      <c r="FI91" s="113"/>
      <c r="FJ91" s="113"/>
      <c r="FK91" s="113"/>
      <c r="FL91" s="113"/>
      <c r="FM91" s="113"/>
      <c r="FN91" s="113"/>
      <c r="FO91" s="113"/>
      <c r="FP91" s="113"/>
      <c r="FQ91" s="113"/>
      <c r="FR91" s="113"/>
      <c r="FS91" s="113"/>
      <c r="FT91" s="113"/>
      <c r="FU91" s="113"/>
      <c r="FV91" s="113"/>
      <c r="FW91" s="113"/>
      <c r="FX91" s="113"/>
      <c r="FY91" s="113"/>
      <c r="FZ91" s="113"/>
      <c r="GA91" s="113"/>
      <c r="GB91" s="113"/>
      <c r="GC91" s="113"/>
      <c r="GD91" s="113"/>
      <c r="GE91" s="113"/>
      <c r="GF91" s="113"/>
      <c r="GG91" s="113"/>
      <c r="GH91" s="113"/>
      <c r="GI91" s="113"/>
      <c r="GJ91" s="113"/>
      <c r="GK91" s="113"/>
      <c r="GL91" s="113"/>
      <c r="GM91" s="113"/>
      <c r="GN91" s="113"/>
      <c r="GO91" s="113"/>
      <c r="GP91" s="113"/>
      <c r="GQ91" s="113"/>
      <c r="GR91" s="113"/>
      <c r="GS91" s="113"/>
      <c r="GT91" s="113"/>
      <c r="GU91" s="113"/>
      <c r="GV91" s="113"/>
      <c r="GW91" s="113"/>
      <c r="GX91" s="113"/>
      <c r="GY91" s="113"/>
      <c r="GZ91" s="113"/>
      <c r="HA91" s="113"/>
      <c r="HB91" s="113"/>
      <c r="HC91" s="113"/>
      <c r="HD91" s="113"/>
      <c r="HE91" s="113"/>
      <c r="HF91" s="113"/>
      <c r="HG91" s="113"/>
      <c r="HH91" s="113"/>
      <c r="HI91" s="113"/>
      <c r="HJ91" s="113"/>
      <c r="HK91" s="113"/>
      <c r="HL91" s="113"/>
      <c r="HM91" s="113"/>
      <c r="HN91" s="113"/>
      <c r="HO91" s="113"/>
      <c r="HP91" s="113"/>
      <c r="HQ91" s="113"/>
      <c r="HR91" s="113"/>
      <c r="HS91" s="113"/>
      <c r="HT91" s="113"/>
      <c r="HU91" s="113"/>
      <c r="HV91" s="113"/>
      <c r="HW91" s="113"/>
      <c r="HX91" s="113"/>
      <c r="HY91" s="113"/>
      <c r="HZ91" s="113"/>
      <c r="IA91" s="113"/>
      <c r="IB91" s="113"/>
      <c r="IC91" s="113"/>
      <c r="ID91" s="113"/>
      <c r="IE91" s="113"/>
      <c r="IF91" s="113"/>
      <c r="IG91" s="113"/>
      <c r="IH91" s="113"/>
      <c r="II91" s="113"/>
      <c r="IJ91" s="113"/>
      <c r="IK91" s="113"/>
      <c r="IL91" s="113"/>
      <c r="IM91" s="113"/>
      <c r="IN91" s="113"/>
      <c r="IO91" s="113"/>
      <c r="IP91" s="113"/>
      <c r="IQ91" s="113"/>
      <c r="IR91" s="113"/>
      <c r="IS91" s="113"/>
      <c r="IT91" s="113"/>
      <c r="IU91" s="113"/>
      <c r="IV91" s="113"/>
      <c r="IW91" s="113"/>
      <c r="IX91" s="113"/>
      <c r="IY91" s="113"/>
      <c r="IZ91" s="113"/>
      <c r="JA91" s="113"/>
      <c r="JB91" s="113"/>
      <c r="JC91" s="113"/>
      <c r="JD91" s="113"/>
      <c r="JE91" s="113"/>
      <c r="JF91" s="113"/>
      <c r="JG91" s="113"/>
      <c r="JH91" s="113"/>
      <c r="JI91" s="113"/>
      <c r="JJ91" s="113"/>
      <c r="JK91" s="113"/>
      <c r="JL91" s="113"/>
      <c r="JM91" s="113"/>
      <c r="JN91" s="113"/>
      <c r="JO91" s="113"/>
      <c r="JP91" s="113"/>
      <c r="JQ91" s="113"/>
      <c r="JR91" s="113"/>
      <c r="JS91" s="113"/>
      <c r="JT91" s="113"/>
      <c r="JU91" s="113"/>
      <c r="JV91" s="113"/>
      <c r="JW91" s="113"/>
      <c r="JX91" s="113"/>
      <c r="JY91" s="113"/>
      <c r="JZ91" s="113"/>
      <c r="KA91" s="113"/>
      <c r="KB91" s="113"/>
      <c r="KC91" s="113"/>
      <c r="KD91" s="113"/>
      <c r="KE91" s="113"/>
      <c r="KF91" s="113"/>
      <c r="KG91" s="113"/>
      <c r="KH91" s="113"/>
      <c r="KI91" s="113"/>
      <c r="KJ91" s="113"/>
      <c r="KK91" s="113"/>
      <c r="KL91" s="113"/>
      <c r="KM91" s="113"/>
      <c r="KN91" s="113"/>
      <c r="KO91" s="113"/>
      <c r="KP91" s="113"/>
      <c r="KQ91" s="113"/>
      <c r="KR91" s="113"/>
      <c r="KS91" s="113"/>
      <c r="KT91" s="113"/>
      <c r="KU91" s="113"/>
      <c r="KV91" s="113"/>
      <c r="KW91" s="113"/>
      <c r="KX91" s="113"/>
      <c r="KY91" s="113"/>
      <c r="KZ91" s="113"/>
      <c r="LA91" s="113"/>
      <c r="LB91" s="113"/>
      <c r="LC91" s="113"/>
      <c r="LD91" s="113"/>
      <c r="LE91" s="113"/>
      <c r="LF91" s="113"/>
      <c r="LG91" s="113"/>
      <c r="LH91" s="113"/>
      <c r="LI91" s="113"/>
      <c r="LJ91" s="113"/>
      <c r="LK91" s="113"/>
      <c r="LL91" s="113"/>
      <c r="LM91" s="113"/>
      <c r="LN91" s="113"/>
      <c r="LO91" s="113"/>
      <c r="LP91" s="113"/>
      <c r="LQ91" s="113"/>
      <c r="LR91" s="113"/>
      <c r="LS91" s="113"/>
      <c r="LT91" s="113"/>
      <c r="LU91" s="113"/>
      <c r="LV91" s="113"/>
      <c r="LW91" s="113"/>
      <c r="LX91" s="113"/>
      <c r="LY91" s="113"/>
      <c r="LZ91" s="113"/>
      <c r="MA91" s="113"/>
      <c r="MB91" s="113"/>
      <c r="MC91" s="113"/>
      <c r="MD91" s="113"/>
    </row>
    <row r="92" spans="1:342" x14ac:dyDescent="0.25">
      <c r="A92" s="5" t="s">
        <v>44</v>
      </c>
      <c r="B92" s="312"/>
      <c r="C92" s="312"/>
      <c r="D92" s="312"/>
      <c r="E92" s="312"/>
      <c r="F92" s="312"/>
      <c r="G92" s="312"/>
      <c r="H92" s="316"/>
    </row>
    <row r="93" spans="1:342" s="101" customFormat="1" ht="13" x14ac:dyDescent="0.3">
      <c r="A93" s="95" t="s">
        <v>231</v>
      </c>
      <c r="B93" s="312"/>
      <c r="C93" s="312"/>
      <c r="D93" s="312"/>
      <c r="E93" s="312"/>
      <c r="F93" s="312"/>
      <c r="G93" s="312"/>
      <c r="H93" s="459"/>
    </row>
    <row r="94" spans="1:342" s="101" customFormat="1" ht="13" x14ac:dyDescent="0.3">
      <c r="A94" s="167" t="s">
        <v>43</v>
      </c>
      <c r="B94" s="336"/>
      <c r="C94" s="336"/>
      <c r="D94" s="336"/>
      <c r="E94" s="336"/>
      <c r="F94" s="336"/>
      <c r="G94" s="336"/>
      <c r="H94" s="459"/>
    </row>
    <row r="95" spans="1:342" s="101" customFormat="1" ht="13" x14ac:dyDescent="0.3">
      <c r="A95" s="167" t="s">
        <v>368</v>
      </c>
      <c r="B95" s="469">
        <f>Bilanss!C51</f>
        <v>0</v>
      </c>
      <c r="C95" s="469">
        <f>Bilanss!D51</f>
        <v>0</v>
      </c>
      <c r="D95" s="469">
        <f>Bilanss!E51</f>
        <v>0</v>
      </c>
      <c r="E95" s="469">
        <f>Bilanss!F51</f>
        <v>0</v>
      </c>
      <c r="F95" s="469">
        <f>Bilanss!G51</f>
        <v>0</v>
      </c>
      <c r="G95" s="469">
        <f>Bilanss!H51</f>
        <v>0</v>
      </c>
      <c r="H95" s="459"/>
    </row>
    <row r="96" spans="1:342" s="101" customFormat="1" ht="13" x14ac:dyDescent="0.3">
      <c r="A96" s="56" t="s">
        <v>256</v>
      </c>
      <c r="B96" s="453">
        <f>SUM(B29:B34)+SUM(B36:B40)+B48++B52+B53+B61+B66+B71+B72+B81+B82+SUM(B87:B95)</f>
        <v>0</v>
      </c>
      <c r="C96" s="453">
        <f t="shared" ref="C96:G96" si="8">SUM(C29:C34)+SUM(C36:C40)+C48++C52+C53+C61+C66+C71+C72+C81+C82+SUM(C87:C95)</f>
        <v>0</v>
      </c>
      <c r="D96" s="453">
        <f t="shared" si="8"/>
        <v>0</v>
      </c>
      <c r="E96" s="453">
        <f t="shared" si="8"/>
        <v>0</v>
      </c>
      <c r="F96" s="453">
        <f t="shared" si="8"/>
        <v>0</v>
      </c>
      <c r="G96" s="453">
        <f t="shared" si="8"/>
        <v>0</v>
      </c>
      <c r="H96" s="459"/>
    </row>
    <row r="97" spans="1:8" s="101" customFormat="1" ht="13" x14ac:dyDescent="0.3">
      <c r="A97" s="117"/>
      <c r="B97" s="470"/>
      <c r="C97" s="471"/>
      <c r="D97" s="471"/>
      <c r="E97" s="471"/>
      <c r="F97" s="471"/>
      <c r="G97" s="472"/>
      <c r="H97" s="459"/>
    </row>
    <row r="98" spans="1:8" ht="13" x14ac:dyDescent="0.3">
      <c r="A98" s="56" t="s">
        <v>45</v>
      </c>
      <c r="B98" s="454">
        <f>B4+B25-B96</f>
        <v>0</v>
      </c>
      <c r="C98" s="454">
        <f t="shared" ref="C98:G98" si="9">C4+C25-C96</f>
        <v>0</v>
      </c>
      <c r="D98" s="454">
        <f t="shared" si="9"/>
        <v>0</v>
      </c>
      <c r="E98" s="454">
        <f t="shared" si="9"/>
        <v>0</v>
      </c>
      <c r="F98" s="454">
        <f t="shared" si="9"/>
        <v>0</v>
      </c>
      <c r="G98" s="454">
        <f t="shared" si="9"/>
        <v>0</v>
      </c>
      <c r="H98" s="316"/>
    </row>
    <row r="99" spans="1:8" x14ac:dyDescent="0.25">
      <c r="A99" s="168" t="s">
        <v>288</v>
      </c>
      <c r="B99" s="473">
        <f>Algandmed!B48</f>
        <v>0</v>
      </c>
      <c r="C99" s="473">
        <f>Algandmed!C48</f>
        <v>0</v>
      </c>
      <c r="D99" s="473">
        <f>Algandmed!D48</f>
        <v>0</v>
      </c>
      <c r="E99" s="473">
        <f>Algandmed!E48</f>
        <v>0</v>
      </c>
      <c r="F99" s="473">
        <f>Algandmed!F48</f>
        <v>0</v>
      </c>
      <c r="G99" s="473">
        <f>Algandmed!G48</f>
        <v>0</v>
      </c>
      <c r="H99" s="316"/>
    </row>
    <row r="100" spans="1:8" x14ac:dyDescent="0.25">
      <c r="B100" s="118" t="e">
        <f>Bilanss!#REF!</f>
        <v>#REF!</v>
      </c>
    </row>
    <row r="101" spans="1:8" ht="17.25" customHeight="1" x14ac:dyDescent="0.25"/>
    <row r="102" spans="1:8" ht="18" customHeight="1" x14ac:dyDescent="0.25"/>
    <row r="103" spans="1:8" ht="17.25" hidden="1" customHeight="1" x14ac:dyDescent="0.3">
      <c r="A103" s="101" t="s">
        <v>46</v>
      </c>
      <c r="B103" s="119">
        <f>Tooted!E11-B81-Algandmed!B46*0.22</f>
        <v>0</v>
      </c>
      <c r="C103" s="119">
        <f>Tooted!F11-C81-Algandmed!C46*0.22</f>
        <v>0</v>
      </c>
      <c r="D103" s="119">
        <f>Tooted!G11-D81-Algandmed!D46*0.22</f>
        <v>0</v>
      </c>
      <c r="E103" s="119">
        <f>Tooted!H11-E81-Algandmed!E46*0.22</f>
        <v>0</v>
      </c>
      <c r="F103" s="119">
        <f>Tooted!I11-F81-Algandmed!F46*0.22</f>
        <v>0</v>
      </c>
      <c r="G103" s="119">
        <f>Tooted!J11-G81-Algandmed!G46*0.22</f>
        <v>0</v>
      </c>
    </row>
    <row r="104" spans="1:8" ht="17.25" hidden="1" customHeight="1" x14ac:dyDescent="0.3">
      <c r="A104" s="101" t="s">
        <v>114</v>
      </c>
      <c r="B104" s="119">
        <f>B42</f>
        <v>0</v>
      </c>
      <c r="C104" s="119">
        <f>B104+C42</f>
        <v>0</v>
      </c>
      <c r="D104" s="119">
        <f>C104+D42</f>
        <v>0</v>
      </c>
      <c r="E104" s="119">
        <f>D104+E42</f>
        <v>0</v>
      </c>
      <c r="F104" s="119">
        <f>E104+F42</f>
        <v>0</v>
      </c>
      <c r="G104" s="119">
        <f>F104+G42</f>
        <v>0</v>
      </c>
    </row>
    <row r="105" spans="1:8" s="124" customFormat="1" ht="19.5" hidden="1" customHeight="1" x14ac:dyDescent="0.3">
      <c r="A105" s="122" t="s">
        <v>115</v>
      </c>
      <c r="B105" s="123">
        <f>B44+Algandmed!B43</f>
        <v>0</v>
      </c>
      <c r="C105" s="123">
        <f>B105+C44+Algandmed!C43</f>
        <v>0</v>
      </c>
      <c r="D105" s="123">
        <f>C105+D44+Algandmed!D43</f>
        <v>0</v>
      </c>
      <c r="E105" s="123">
        <f>D105+E44+Algandmed!E43</f>
        <v>0</v>
      </c>
      <c r="F105" s="123">
        <f>E105+F44+Algandmed!F43</f>
        <v>0</v>
      </c>
      <c r="G105" s="123">
        <f>F105+G44+Algandmed!G43</f>
        <v>0</v>
      </c>
    </row>
    <row r="106" spans="1:8" s="124" customFormat="1" ht="19.5" hidden="1" customHeight="1" x14ac:dyDescent="0.3">
      <c r="A106" s="122" t="s">
        <v>116</v>
      </c>
      <c r="B106" s="123">
        <f>B46+Algandmed!G44</f>
        <v>0</v>
      </c>
      <c r="C106" s="123">
        <f>B106+C46+Algandmed!C44</f>
        <v>0</v>
      </c>
      <c r="D106" s="123">
        <f>C106+D46+Algandmed!D44</f>
        <v>0</v>
      </c>
      <c r="E106" s="123">
        <f>D106+E46+Algandmed!E44</f>
        <v>0</v>
      </c>
      <c r="F106" s="123">
        <f>E106+F46+Algandmed!F44</f>
        <v>0</v>
      </c>
      <c r="G106" s="123">
        <f>F106+G46+Algandmed!G44</f>
        <v>0</v>
      </c>
    </row>
    <row r="107" spans="1:8" ht="17.25" hidden="1" customHeight="1" x14ac:dyDescent="0.3">
      <c r="A107" s="101" t="s">
        <v>111</v>
      </c>
      <c r="B107" s="119">
        <f>Bilanss!$C$30*Algandmed!B10/100+B104*Algandmed!B10/100</f>
        <v>0</v>
      </c>
      <c r="C107" s="119">
        <f>Bilanss!$C$30*Algandmed!C10/100+C104*Algandmed!C10/100</f>
        <v>0</v>
      </c>
      <c r="D107" s="119">
        <f>Bilanss!$C$30*Algandmed!D10/100+D104*Algandmed!D10/100</f>
        <v>0</v>
      </c>
      <c r="E107" s="119">
        <f>Bilanss!$C$30*Algandmed!E10/100+E104*Algandmed!E10/100</f>
        <v>0</v>
      </c>
      <c r="F107" s="119">
        <f>Bilanss!$C$30*Algandmed!F10/100+F104*Algandmed!F10/100</f>
        <v>0</v>
      </c>
      <c r="G107" s="119">
        <f>Bilanss!$C$30*Algandmed!G10/100+G104*Algandmed!G10/100</f>
        <v>0</v>
      </c>
    </row>
    <row r="108" spans="1:8" ht="21" hidden="1" customHeight="1" x14ac:dyDescent="0.3">
      <c r="A108" s="101" t="s">
        <v>112</v>
      </c>
      <c r="B108" s="119">
        <f>Bilanss!$C$31*Algandmed!B11/100+B105*Algandmed!B11/100</f>
        <v>0</v>
      </c>
      <c r="C108" s="119">
        <f>Bilanss!$C$31*Algandmed!C11/100+C105*Algandmed!C11/100</f>
        <v>0</v>
      </c>
      <c r="D108" s="119">
        <f>Bilanss!$C$31*Algandmed!D11/100+D105*Algandmed!D11/100</f>
        <v>0</v>
      </c>
      <c r="E108" s="119">
        <f>Bilanss!$C$31*Algandmed!E11/100+E105*Algandmed!E11/100</f>
        <v>0</v>
      </c>
      <c r="F108" s="119">
        <f>Bilanss!$C$31*Algandmed!F11/100+F105*Algandmed!F11/100</f>
        <v>0</v>
      </c>
      <c r="G108" s="119">
        <f>Bilanss!$C$31*Algandmed!G11/100+G105*Algandmed!G11/100</f>
        <v>0</v>
      </c>
    </row>
    <row r="109" spans="1:8" ht="21" hidden="1" customHeight="1" x14ac:dyDescent="0.3">
      <c r="A109" s="101" t="s">
        <v>113</v>
      </c>
      <c r="B109" s="119">
        <f>Bilanss!$C$32*Algandmed!B12/100+B106*Algandmed!B12/100</f>
        <v>0</v>
      </c>
      <c r="C109" s="119">
        <f>Bilanss!$C$32*Algandmed!C12/100+C106*Algandmed!C12/100</f>
        <v>0</v>
      </c>
      <c r="D109" s="119">
        <f>Bilanss!$C$32*Algandmed!D12/100+D106*Algandmed!D12/100</f>
        <v>0</v>
      </c>
      <c r="E109" s="119">
        <f>Bilanss!$C$32*Algandmed!E12/100+E106*Algandmed!E12/100</f>
        <v>0</v>
      </c>
      <c r="F109" s="119">
        <f>Bilanss!$C$32*Algandmed!F12/100+F106*Algandmed!F12/100</f>
        <v>0</v>
      </c>
      <c r="G109" s="119">
        <f>Bilanss!$C$32*Algandmed!G12/100+G106*Algandmed!G12/100</f>
        <v>0</v>
      </c>
    </row>
    <row r="110" spans="1:8" ht="21" hidden="1" customHeight="1" x14ac:dyDescent="0.3">
      <c r="A110" s="101" t="s">
        <v>291</v>
      </c>
      <c r="B110" s="119">
        <f>B48+Algandmed!B45</f>
        <v>0</v>
      </c>
      <c r="C110" s="119">
        <f>B110+C48+Algandmed!C45</f>
        <v>0</v>
      </c>
      <c r="D110" s="119">
        <f>C110+D48+Algandmed!D45</f>
        <v>0</v>
      </c>
      <c r="E110" s="119">
        <f>D110+E48+Algandmed!E45</f>
        <v>0</v>
      </c>
      <c r="F110" s="119">
        <f>E110+F48+Algandmed!F45</f>
        <v>0</v>
      </c>
      <c r="G110" s="119">
        <f>F110+G48+Algandmed!G45</f>
        <v>0</v>
      </c>
    </row>
    <row r="111" spans="1:8" ht="18" hidden="1" customHeight="1" x14ac:dyDescent="0.3">
      <c r="A111" s="101" t="s">
        <v>47</v>
      </c>
      <c r="B111" s="119">
        <f>Bilanss!$C$35*Algandmed!B13/100+B110*Algandmed!B13/100</f>
        <v>0</v>
      </c>
      <c r="C111" s="119">
        <f>Bilanss!$C$35*Algandmed!C13/100+C110*Algandmed!C13/100</f>
        <v>0</v>
      </c>
      <c r="D111" s="119">
        <f>Bilanss!$C$35*Algandmed!D13/100+D110*Algandmed!D13/100</f>
        <v>0</v>
      </c>
      <c r="E111" s="119">
        <f>Bilanss!$C$35*Algandmed!E13/100+E110*Algandmed!E13/100</f>
        <v>0</v>
      </c>
      <c r="F111" s="119">
        <f>Bilanss!$C$35*Algandmed!F13/100+F110*Algandmed!F13/100</f>
        <v>0</v>
      </c>
      <c r="G111" s="119">
        <f>Bilanss!$C$35*Algandmed!G13/100+G110*Algandmed!G13/100</f>
        <v>0</v>
      </c>
    </row>
    <row r="112" spans="1:8" ht="18.75" hidden="1" customHeight="1" x14ac:dyDescent="0.3">
      <c r="A112" s="101" t="s">
        <v>290</v>
      </c>
      <c r="B112" s="121">
        <f>B41</f>
        <v>0</v>
      </c>
      <c r="C112" s="121">
        <f>B112+C41</f>
        <v>0</v>
      </c>
      <c r="D112" s="121">
        <f t="shared" ref="D112:G112" si="10">C112+D41</f>
        <v>0</v>
      </c>
      <c r="E112" s="121">
        <f t="shared" si="10"/>
        <v>0</v>
      </c>
      <c r="F112" s="121">
        <f t="shared" si="10"/>
        <v>0</v>
      </c>
      <c r="G112" s="121">
        <f t="shared" si="10"/>
        <v>0</v>
      </c>
    </row>
  </sheetData>
  <sheetProtection algorithmName="SHA-512" hashValue="STBAcwoed61YdTZjHPgK34PE20a1eMz1h7OMPYcjv2R/mArd+6VlRP840j4WKEU4bjfeYobi1WITxCA09ydtqA==" saltValue="+/pImO9EF8FBh+qM30pVlw==" spinCount="100000" sheet="1" objects="1" scenarios="1"/>
  <conditionalFormatting sqref="B88:G88">
    <cfRule type="expression" dxfId="23" priority="70" stopIfTrue="1">
      <formula>SUM(#REF!)=B100</formula>
    </cfRule>
    <cfRule type="expression" dxfId="22" priority="71" stopIfTrue="1">
      <formula>B100-SUM(#REF!)&lt;0</formula>
    </cfRule>
    <cfRule type="expression" dxfId="21" priority="72" stopIfTrue="1">
      <formula>B100-SUM(#REF!)&gt;0</formula>
    </cfRule>
  </conditionalFormatting>
  <conditionalFormatting sqref="B89:G89">
    <cfRule type="expression" dxfId="20" priority="73" stopIfTrue="1">
      <formula>SUM(#REF!)&lt;B99</formula>
    </cfRule>
    <cfRule type="expression" dxfId="19" priority="74" stopIfTrue="1">
      <formula>AND(SUM(#REF!)&gt;=B99,SUM(#REF!)&lt;=(B99+SUM(#REF!)))</formula>
    </cfRule>
    <cfRule type="expression" dxfId="18" priority="75" stopIfTrue="1">
      <formula>SUM(#REF!)&gt;(B99+SUM(#REF!))</formula>
    </cfRule>
  </conditionalFormatting>
  <conditionalFormatting sqref="B98:G98">
    <cfRule type="cellIs" dxfId="17" priority="1" stopIfTrue="1" operator="lessThan">
      <formula>0</formula>
    </cfRule>
  </conditionalFormatting>
  <dataValidations xWindow="832" yWindow="642" count="12">
    <dataValidation allowBlank="1" showInputMessage="1" showErrorMessage="1" prompt="Lahtri sisu ei saa olla suurem ega väiksem kui bilansi rea H47 ehk &quot;Lühiajalised võlakohustused (laenud, kapitalirent)&quot; summa." sqref="G89" xr:uid="{00000000-0002-0000-0200-000000000000}"/>
    <dataValidation allowBlank="1" showInputMessage="1" showErrorMessage="1" prompt="Lahtri sisu (summa) ei saa olla suurem kui bilansi real H48 ehk &quot;Pikaajaliste laenude, kapitalirendi lühiajaline osa&quot; näidatud summa!_x000a_" sqref="G88" xr:uid="{00000000-0002-0000-0200-000001000000}"/>
    <dataValidation allowBlank="1" showInputMessage="1" showErrorMessage="1" prompt="Lahtri sisu (summa) ei saa olla suurem kui bilansi real C48 ehk &quot;Pikaajaliste laenude, kapitalirendi lühiajaline osa&quot; näidatud summa!_x000a_" sqref="B88" xr:uid="{A4AA02CA-D4FD-4273-9DB0-CDA87F4250C2}"/>
    <dataValidation allowBlank="1" showInputMessage="1" showErrorMessage="1" prompt="Lahtri sisu (summa) ei saa olla suurem kui bilansi real D48 ehk &quot;Pikaajaliste laenude, kapitalirendi lühiajaline osa&quot; näidatud summa!_x000a_" sqref="C88" xr:uid="{B9B7F4BF-B313-4333-AD99-F278F5B51179}"/>
    <dataValidation allowBlank="1" showInputMessage="1" showErrorMessage="1" prompt="Lahtri sisu (summa) ei saa olla suurem kui bilansi real E48 ehk &quot;Pikaajaliste laenude, kapitalirendi lühiajaline osa&quot; näidatud summa!_x000a_" sqref="D88" xr:uid="{164E576C-8DD4-40FB-830A-261D09B1B906}"/>
    <dataValidation allowBlank="1" showInputMessage="1" showErrorMessage="1" prompt="Lahtri sisu (summa) ei saa olla suurem kui bilansi real F48 ehk &quot;Pikaajaliste laenude, kapitalirendi lühiajaline osa&quot; näidatud summa!_x000a_" sqref="E88" xr:uid="{1F1CDCAD-0F75-41FB-8A93-1C6ABAF4E861}"/>
    <dataValidation allowBlank="1" showInputMessage="1" showErrorMessage="1" prompt="Lahtri sisu (summa) ei saa olla suurem kui bilansi real G48 ehk &quot;Pikaajaliste laenude, kapitalirendi lühiajaline osa&quot; näidatud summa!_x000a_" sqref="F88" xr:uid="{4D2DF869-8FB6-4185-81F7-1390CA72DB04}"/>
    <dataValidation allowBlank="1" showInputMessage="1" showErrorMessage="1" prompt="Lahtri sisu ei saa olla suurem ega väiksem kui bilansi rea C47 ehk &quot;Lühiajalised võlakohustused (laenud, kapitalirent)&quot; summa." sqref="B89" xr:uid="{1CC8EC51-84E2-4913-86D0-F4F5528CB260}"/>
    <dataValidation allowBlank="1" showInputMessage="1" showErrorMessage="1" prompt="Lahtri sisu ei saa olla suurem ega väiksem kui bilansi rea D47 ehk &quot;Lühiajalised võlakohustused (laenud, kapitalirent)&quot; summa." sqref="C89" xr:uid="{E86840A1-DBF5-4C17-BF37-883BA12F361E}"/>
    <dataValidation allowBlank="1" showInputMessage="1" showErrorMessage="1" prompt="Lahtri sisu ei saa olla suurem ega väiksem kui bilansi rea E47 ehk &quot;Lühiajalised võlakohustused (laenud, kapitalirent)&quot; summa." sqref="D89" xr:uid="{F62E72B1-8B11-4F14-B460-A50D8E133072}"/>
    <dataValidation allowBlank="1" showInputMessage="1" showErrorMessage="1" prompt="Lahtri sisu ei saa olla suurem ega väiksem kui bilansi rea F47 ehk &quot;Lühiajalised võlakohustused (laenud, kapitalirent)&quot; summa." sqref="E89" xr:uid="{A383FCA5-FC79-45A3-810D-CEB7208B072A}"/>
    <dataValidation allowBlank="1" showInputMessage="1" showErrorMessage="1" prompt="Lahtri sisu ei saa olla suurem ega väiksem kui bilansi rea G47 ehk &quot;Lühiajalised võlakohustused (laenud, kapitalirent)&quot; summa." sqref="F89" xr:uid="{49D0171D-B3FB-4A4B-80F3-BE6E2C692BF1}"/>
  </dataValidations>
  <pageMargins left="0.19685039370078738" right="0.19685039370078738" top="0.39370078740157477" bottom="0.35433070866141736" header="0" footer="0"/>
  <pageSetup paperSize="8" scale="67" orientation="landscape" r:id="rId1"/>
  <headerFooter alignWithMargins="0">
    <oddHeader>&amp;L&amp;"Arial,Kursiiv"&amp;8Finantsprognoosid alustavale ettevõtjale</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eht4">
    <outlinePr summaryBelow="0" summaryRight="0"/>
    <pageSetUpPr fitToPage="1"/>
  </sheetPr>
  <dimension ref="A1:K67"/>
  <sheetViews>
    <sheetView zoomScale="85" zoomScaleNormal="85" workbookViewId="0">
      <pane ySplit="3" topLeftCell="A38" activePane="bottomLeft" state="frozen"/>
      <selection pane="bottomLeft" activeCell="E43" sqref="E43"/>
    </sheetView>
  </sheetViews>
  <sheetFormatPr defaultColWidth="9.1796875" defaultRowHeight="12.5" outlineLevelRow="1" x14ac:dyDescent="0.25"/>
  <cols>
    <col min="1" max="1" width="47.54296875" style="5" customWidth="1"/>
    <col min="2" max="2" width="15.54296875" style="5" customWidth="1"/>
    <col min="3" max="3" width="14" style="131" customWidth="1"/>
    <col min="4" max="8" width="12.453125" style="121" customWidth="1"/>
    <col min="9" max="9" width="12.453125" style="125" customWidth="1"/>
    <col min="10" max="16384" width="9.1796875" style="125"/>
  </cols>
  <sheetData>
    <row r="1" spans="1:11" ht="13" x14ac:dyDescent="0.3">
      <c r="A1" s="6" t="s">
        <v>48</v>
      </c>
      <c r="B1" s="497" t="s">
        <v>360</v>
      </c>
      <c r="C1" s="499" t="s">
        <v>361</v>
      </c>
      <c r="D1" s="497" t="s">
        <v>350</v>
      </c>
      <c r="E1" s="497" t="s">
        <v>202</v>
      </c>
      <c r="F1" s="497" t="s">
        <v>21</v>
      </c>
      <c r="G1" s="497" t="s">
        <v>22</v>
      </c>
      <c r="H1" s="497" t="s">
        <v>203</v>
      </c>
      <c r="I1" s="497" t="s">
        <v>204</v>
      </c>
    </row>
    <row r="2" spans="1:11" ht="36.65" customHeight="1" x14ac:dyDescent="0.3">
      <c r="A2" s="6"/>
      <c r="B2" s="498"/>
      <c r="C2" s="499"/>
      <c r="D2" s="498"/>
      <c r="E2" s="498"/>
      <c r="F2" s="498"/>
      <c r="G2" s="498"/>
      <c r="H2" s="498"/>
      <c r="I2" s="498"/>
    </row>
    <row r="3" spans="1:11" ht="17.25" customHeight="1" x14ac:dyDescent="0.3">
      <c r="A3" s="6"/>
      <c r="B3" s="57">
        <v>2022</v>
      </c>
      <c r="C3" s="57">
        <v>2023</v>
      </c>
      <c r="D3" s="264">
        <f>Kassavood!B2</f>
        <v>2024</v>
      </c>
      <c r="E3" s="264">
        <f>Kassavood!C2</f>
        <v>2025</v>
      </c>
      <c r="F3" s="264">
        <f>Kassavood!D2</f>
        <v>2026</v>
      </c>
      <c r="G3" s="264">
        <f>Kassavood!E2</f>
        <v>2027</v>
      </c>
      <c r="H3" s="264">
        <f>Kassavood!F2</f>
        <v>2028</v>
      </c>
      <c r="I3" s="264">
        <f>Kassavood!G2</f>
        <v>2029</v>
      </c>
    </row>
    <row r="4" spans="1:11" ht="13" x14ac:dyDescent="0.3">
      <c r="A4" s="7" t="s">
        <v>50</v>
      </c>
      <c r="B4" s="404"/>
      <c r="C4" s="405"/>
      <c r="D4" s="406"/>
      <c r="E4" s="406"/>
      <c r="F4" s="406"/>
      <c r="G4" s="406"/>
      <c r="H4" s="406"/>
      <c r="I4" s="406"/>
    </row>
    <row r="5" spans="1:11" ht="13" x14ac:dyDescent="0.3">
      <c r="A5" s="126" t="s">
        <v>51</v>
      </c>
      <c r="B5" s="300"/>
      <c r="C5" s="301"/>
      <c r="D5" s="407">
        <f>Kassavood!B7</f>
        <v>0</v>
      </c>
      <c r="E5" s="407">
        <f>Kassavood!C7</f>
        <v>0</v>
      </c>
      <c r="F5" s="407">
        <f>Kassavood!D7</f>
        <v>0</v>
      </c>
      <c r="G5" s="407">
        <f>Kassavood!E7</f>
        <v>0</v>
      </c>
      <c r="H5" s="407">
        <f>Kassavood!F7</f>
        <v>0</v>
      </c>
      <c r="I5" s="407">
        <f>Kassavood!G7</f>
        <v>0</v>
      </c>
    </row>
    <row r="6" spans="1:11" ht="13" x14ac:dyDescent="0.3">
      <c r="A6" s="126" t="s">
        <v>176</v>
      </c>
      <c r="B6" s="300"/>
      <c r="C6" s="301"/>
      <c r="D6" s="408">
        <f>Kassavood!B15+Kassavood!B24</f>
        <v>0</v>
      </c>
      <c r="E6" s="408">
        <f>Kassavood!C15+Kassavood!C24</f>
        <v>0</v>
      </c>
      <c r="F6" s="408">
        <f>Kassavood!D15+Kassavood!D24</f>
        <v>0</v>
      </c>
      <c r="G6" s="408">
        <f>Kassavood!E15+Kassavood!E24</f>
        <v>0</v>
      </c>
      <c r="H6" s="408">
        <f>Kassavood!F15+Kassavood!F24</f>
        <v>0</v>
      </c>
      <c r="I6" s="408">
        <f>Kassavood!G15+Kassavood!G24</f>
        <v>0</v>
      </c>
    </row>
    <row r="7" spans="1:11" ht="13" x14ac:dyDescent="0.25">
      <c r="A7" s="115" t="s">
        <v>177</v>
      </c>
      <c r="B7" s="302"/>
      <c r="C7" s="303"/>
      <c r="D7" s="409">
        <f>Kassavood!B24</f>
        <v>0</v>
      </c>
      <c r="E7" s="409">
        <f>Kassavood!C24</f>
        <v>0</v>
      </c>
      <c r="F7" s="409">
        <f>Kassavood!D24</f>
        <v>0</v>
      </c>
      <c r="G7" s="409">
        <f>Kassavood!E24</f>
        <v>0</v>
      </c>
      <c r="H7" s="409">
        <f>Kassavood!F24</f>
        <v>0</v>
      </c>
      <c r="I7" s="409">
        <f>Kassavood!G24</f>
        <v>0</v>
      </c>
    </row>
    <row r="8" spans="1:11" ht="18" customHeight="1" x14ac:dyDescent="0.3">
      <c r="A8" s="116" t="s">
        <v>52</v>
      </c>
      <c r="B8" s="301">
        <f t="shared" ref="B8:I8" si="0">B5+B6</f>
        <v>0</v>
      </c>
      <c r="C8" s="301">
        <f t="shared" si="0"/>
        <v>0</v>
      </c>
      <c r="D8" s="301">
        <f t="shared" si="0"/>
        <v>0</v>
      </c>
      <c r="E8" s="301">
        <f t="shared" si="0"/>
        <v>0</v>
      </c>
      <c r="F8" s="301">
        <f t="shared" si="0"/>
        <v>0</v>
      </c>
      <c r="G8" s="301">
        <f t="shared" si="0"/>
        <v>0</v>
      </c>
      <c r="H8" s="301">
        <f t="shared" si="0"/>
        <v>0</v>
      </c>
      <c r="I8" s="301">
        <f t="shared" si="0"/>
        <v>0</v>
      </c>
    </row>
    <row r="9" spans="1:11" ht="15" customHeight="1" x14ac:dyDescent="0.3">
      <c r="A9" s="9"/>
      <c r="B9" s="410"/>
      <c r="C9" s="411"/>
      <c r="D9" s="412"/>
      <c r="E9" s="412"/>
      <c r="F9" s="412"/>
      <c r="G9" s="412"/>
      <c r="H9" s="412"/>
      <c r="I9" s="412"/>
    </row>
    <row r="10" spans="1:11" ht="13" x14ac:dyDescent="0.3">
      <c r="A10" s="58" t="s">
        <v>53</v>
      </c>
      <c r="B10" s="413"/>
      <c r="C10" s="413">
        <f t="shared" ref="C10:I10" si="1">IFERROR((C5-B5)/ABS(B5),0)</f>
        <v>0</v>
      </c>
      <c r="D10" s="413">
        <f t="shared" si="1"/>
        <v>0</v>
      </c>
      <c r="E10" s="413">
        <f t="shared" si="1"/>
        <v>0</v>
      </c>
      <c r="F10" s="413">
        <f t="shared" si="1"/>
        <v>0</v>
      </c>
      <c r="G10" s="413">
        <f t="shared" si="1"/>
        <v>0</v>
      </c>
      <c r="H10" s="413">
        <f t="shared" si="1"/>
        <v>0</v>
      </c>
      <c r="I10" s="413">
        <f t="shared" si="1"/>
        <v>0</v>
      </c>
      <c r="K10" s="42"/>
    </row>
    <row r="11" spans="1:11" ht="18" customHeight="1" x14ac:dyDescent="0.3">
      <c r="A11" s="127"/>
      <c r="B11" s="414"/>
      <c r="C11" s="415"/>
      <c r="D11" s="412"/>
      <c r="E11" s="412"/>
      <c r="F11" s="412"/>
      <c r="G11" s="412"/>
      <c r="H11" s="412"/>
      <c r="I11" s="412"/>
    </row>
    <row r="12" spans="1:11" ht="13" x14ac:dyDescent="0.3">
      <c r="A12" s="10" t="s">
        <v>28</v>
      </c>
      <c r="B12" s="416"/>
      <c r="C12" s="417"/>
      <c r="D12" s="418"/>
      <c r="E12" s="418"/>
      <c r="F12" s="418"/>
      <c r="G12" s="418"/>
      <c r="H12" s="418"/>
      <c r="I12" s="418"/>
    </row>
    <row r="13" spans="1:11" x14ac:dyDescent="0.25">
      <c r="A13" s="62" t="s">
        <v>106</v>
      </c>
      <c r="B13" s="340"/>
      <c r="C13" s="340"/>
      <c r="D13" s="419"/>
      <c r="E13" s="419"/>
      <c r="F13" s="419"/>
      <c r="G13" s="420"/>
      <c r="H13" s="420"/>
      <c r="I13" s="421"/>
    </row>
    <row r="14" spans="1:11" x14ac:dyDescent="0.25">
      <c r="A14" s="62" t="s">
        <v>107</v>
      </c>
      <c r="B14" s="340"/>
      <c r="C14" s="340"/>
      <c r="D14" s="422"/>
      <c r="E14" s="422"/>
      <c r="F14" s="422"/>
      <c r="G14" s="423"/>
      <c r="H14" s="423"/>
      <c r="I14" s="422"/>
    </row>
    <row r="15" spans="1:11" x14ac:dyDescent="0.25">
      <c r="A15" s="62" t="s">
        <v>108</v>
      </c>
      <c r="B15" s="340"/>
      <c r="C15" s="340"/>
      <c r="D15" s="422"/>
      <c r="E15" s="422"/>
      <c r="F15" s="422"/>
      <c r="G15" s="423"/>
      <c r="H15" s="423"/>
      <c r="I15" s="422"/>
    </row>
    <row r="16" spans="1:11" ht="13" x14ac:dyDescent="0.3">
      <c r="A16" s="165" t="s">
        <v>239</v>
      </c>
      <c r="B16" s="340"/>
      <c r="C16" s="340"/>
      <c r="D16" s="424">
        <f>Tooted!E4+Kassavood!B71</f>
        <v>0</v>
      </c>
      <c r="E16" s="424">
        <f>Tooted!F4+Kassavood!C71</f>
        <v>0</v>
      </c>
      <c r="F16" s="424">
        <f>Tooted!G4+Kassavood!D71</f>
        <v>0</v>
      </c>
      <c r="G16" s="424">
        <f>Tooted!H4+Kassavood!E71</f>
        <v>0</v>
      </c>
      <c r="H16" s="424">
        <f>Tooted!I4+Kassavood!F71</f>
        <v>0</v>
      </c>
      <c r="I16" s="424">
        <f>Tooted!J4+Kassavood!G71</f>
        <v>0</v>
      </c>
    </row>
    <row r="17" spans="1:9" ht="13" x14ac:dyDescent="0.3">
      <c r="A17" s="61" t="s">
        <v>30</v>
      </c>
      <c r="B17" s="425">
        <f>SUM(B18:B24)</f>
        <v>0</v>
      </c>
      <c r="C17" s="425">
        <f t="shared" ref="C17:I17" si="2">SUM(C18:C24)</f>
        <v>0</v>
      </c>
      <c r="D17" s="425">
        <f t="shared" si="2"/>
        <v>0</v>
      </c>
      <c r="E17" s="425">
        <f t="shared" si="2"/>
        <v>0</v>
      </c>
      <c r="F17" s="425">
        <f t="shared" si="2"/>
        <v>0</v>
      </c>
      <c r="G17" s="425">
        <f t="shared" si="2"/>
        <v>0</v>
      </c>
      <c r="H17" s="425">
        <f t="shared" si="2"/>
        <v>0</v>
      </c>
      <c r="I17" s="425">
        <f t="shared" si="2"/>
        <v>0</v>
      </c>
    </row>
    <row r="18" spans="1:9" outlineLevel="1" x14ac:dyDescent="0.25">
      <c r="A18" s="8" t="str">
        <f>Kassavood!A54</f>
        <v>Küte</v>
      </c>
      <c r="B18" s="304"/>
      <c r="C18" s="305"/>
      <c r="D18" s="426">
        <f>Kassavood!B54</f>
        <v>0</v>
      </c>
      <c r="E18" s="426">
        <f>Kassavood!C54</f>
        <v>0</v>
      </c>
      <c r="F18" s="426">
        <f>Kassavood!D54</f>
        <v>0</v>
      </c>
      <c r="G18" s="426">
        <f>Kassavood!E54</f>
        <v>0</v>
      </c>
      <c r="H18" s="426">
        <f>Kassavood!F54</f>
        <v>0</v>
      </c>
      <c r="I18" s="426">
        <f>Kassavood!G54</f>
        <v>0</v>
      </c>
    </row>
    <row r="19" spans="1:9" outlineLevel="1" x14ac:dyDescent="0.25">
      <c r="A19" s="8" t="str">
        <f>Kassavood!A55</f>
        <v>Elekter</v>
      </c>
      <c r="B19" s="304"/>
      <c r="C19" s="305"/>
      <c r="D19" s="426">
        <f>Kassavood!B55</f>
        <v>0</v>
      </c>
      <c r="E19" s="426">
        <f>Kassavood!C55</f>
        <v>0</v>
      </c>
      <c r="F19" s="426">
        <f>Kassavood!D55</f>
        <v>0</v>
      </c>
      <c r="G19" s="426">
        <f>Kassavood!E55</f>
        <v>0</v>
      </c>
      <c r="H19" s="426">
        <f>Kassavood!F55</f>
        <v>0</v>
      </c>
      <c r="I19" s="426">
        <f>Kassavood!G55</f>
        <v>0</v>
      </c>
    </row>
    <row r="20" spans="1:9" outlineLevel="1" x14ac:dyDescent="0.25">
      <c r="A20" s="8" t="str">
        <f>Kassavood!A56</f>
        <v>Rent</v>
      </c>
      <c r="B20" s="304"/>
      <c r="C20" s="305"/>
      <c r="D20" s="426">
        <f>Kassavood!B56</f>
        <v>0</v>
      </c>
      <c r="E20" s="426">
        <f>Kassavood!C56</f>
        <v>0</v>
      </c>
      <c r="F20" s="426">
        <f>Kassavood!D56</f>
        <v>0</v>
      </c>
      <c r="G20" s="426">
        <f>Kassavood!E56</f>
        <v>0</v>
      </c>
      <c r="H20" s="426">
        <f>Kassavood!F56</f>
        <v>0</v>
      </c>
      <c r="I20" s="426">
        <f>Kassavood!G56</f>
        <v>0</v>
      </c>
    </row>
    <row r="21" spans="1:9" outlineLevel="1" x14ac:dyDescent="0.25">
      <c r="A21" s="8" t="str">
        <f>Kassavood!A57</f>
        <v>Valveteenused</v>
      </c>
      <c r="B21" s="304"/>
      <c r="C21" s="305"/>
      <c r="D21" s="426">
        <f>Kassavood!B57</f>
        <v>0</v>
      </c>
      <c r="E21" s="426">
        <f>Kassavood!C57</f>
        <v>0</v>
      </c>
      <c r="F21" s="426">
        <f>Kassavood!D57</f>
        <v>0</v>
      </c>
      <c r="G21" s="426">
        <f>Kassavood!E57</f>
        <v>0</v>
      </c>
      <c r="H21" s="426">
        <f>Kassavood!F57</f>
        <v>0</v>
      </c>
      <c r="I21" s="426">
        <f>Kassavood!G57</f>
        <v>0</v>
      </c>
    </row>
    <row r="22" spans="1:9" outlineLevel="1" x14ac:dyDescent="0.25">
      <c r="A22" s="8" t="s">
        <v>174</v>
      </c>
      <c r="B22" s="304"/>
      <c r="C22" s="305"/>
      <c r="D22" s="426">
        <f>Kassavood!B58</f>
        <v>0</v>
      </c>
      <c r="E22" s="426">
        <f>Kassavood!C58</f>
        <v>0</v>
      </c>
      <c r="F22" s="426">
        <f>Kassavood!D58</f>
        <v>0</v>
      </c>
      <c r="G22" s="426">
        <f>Kassavood!E58</f>
        <v>0</v>
      </c>
      <c r="H22" s="426">
        <f>Kassavood!F58</f>
        <v>0</v>
      </c>
      <c r="I22" s="426">
        <f>Kassavood!G58</f>
        <v>0</v>
      </c>
    </row>
    <row r="23" spans="1:9" ht="13" outlineLevel="1" x14ac:dyDescent="0.3">
      <c r="A23" s="307" t="str">
        <f>Kassavood!A59</f>
        <v>Muu kulu (täpsusta)</v>
      </c>
      <c r="B23" s="304"/>
      <c r="C23" s="305"/>
      <c r="D23" s="426">
        <f>Kassavood!B59</f>
        <v>0</v>
      </c>
      <c r="E23" s="426">
        <f>Kassavood!C59</f>
        <v>0</v>
      </c>
      <c r="F23" s="426">
        <f>Kassavood!D59</f>
        <v>0</v>
      </c>
      <c r="G23" s="426">
        <f>Kassavood!E59</f>
        <v>0</v>
      </c>
      <c r="H23" s="426">
        <f>Kassavood!F59</f>
        <v>0</v>
      </c>
      <c r="I23" s="426">
        <f>Kassavood!G59</f>
        <v>0</v>
      </c>
    </row>
    <row r="24" spans="1:9" ht="13" outlineLevel="1" x14ac:dyDescent="0.3">
      <c r="A24" s="307" t="str">
        <f>Kassavood!A60</f>
        <v>Muu kulu (täpsusta)</v>
      </c>
      <c r="B24" s="304"/>
      <c r="C24" s="305"/>
      <c r="D24" s="426">
        <f>Kassavood!B60</f>
        <v>0</v>
      </c>
      <c r="E24" s="426">
        <f>Kassavood!C60</f>
        <v>0</v>
      </c>
      <c r="F24" s="426">
        <f>Kassavood!D60</f>
        <v>0</v>
      </c>
      <c r="G24" s="426">
        <f>Kassavood!E60</f>
        <v>0</v>
      </c>
      <c r="H24" s="426">
        <f>Kassavood!F60</f>
        <v>0</v>
      </c>
      <c r="I24" s="426">
        <f>Kassavood!G60</f>
        <v>0</v>
      </c>
    </row>
    <row r="25" spans="1:9" ht="13" x14ac:dyDescent="0.3">
      <c r="A25" s="60" t="s">
        <v>35</v>
      </c>
      <c r="B25" s="425">
        <f>SUM(B26:B29)</f>
        <v>0</v>
      </c>
      <c r="C25" s="425">
        <f t="shared" ref="C25:I25" si="3">SUM(C26:C29)</f>
        <v>0</v>
      </c>
      <c r="D25" s="425">
        <f t="shared" si="3"/>
        <v>0</v>
      </c>
      <c r="E25" s="425">
        <f t="shared" si="3"/>
        <v>0</v>
      </c>
      <c r="F25" s="425">
        <f t="shared" si="3"/>
        <v>0</v>
      </c>
      <c r="G25" s="425">
        <f t="shared" si="3"/>
        <v>0</v>
      </c>
      <c r="H25" s="425">
        <f t="shared" si="3"/>
        <v>0</v>
      </c>
      <c r="I25" s="425">
        <f t="shared" si="3"/>
        <v>0</v>
      </c>
    </row>
    <row r="26" spans="1:9" outlineLevel="1" x14ac:dyDescent="0.25">
      <c r="A26" s="8" t="str">
        <f>Kassavood!A62</f>
        <v>Ostetud transporditeenused</v>
      </c>
      <c r="B26" s="304"/>
      <c r="C26" s="304"/>
      <c r="D26" s="426">
        <f>Kassavood!B62</f>
        <v>0</v>
      </c>
      <c r="E26" s="426">
        <f>Kassavood!C62</f>
        <v>0</v>
      </c>
      <c r="F26" s="426">
        <f>Kassavood!D62</f>
        <v>0</v>
      </c>
      <c r="G26" s="426">
        <f>Kassavood!E62</f>
        <v>0</v>
      </c>
      <c r="H26" s="426">
        <f>Kassavood!F62</f>
        <v>0</v>
      </c>
      <c r="I26" s="426">
        <f>Kassavood!G62</f>
        <v>0</v>
      </c>
    </row>
    <row r="27" spans="1:9" outlineLevel="1" x14ac:dyDescent="0.25">
      <c r="A27" s="8" t="str">
        <f>Kassavood!A63</f>
        <v>Autohooldus ja remondikulud, kütuse kulu</v>
      </c>
      <c r="B27" s="304"/>
      <c r="C27" s="304"/>
      <c r="D27" s="427">
        <f>Kassavood!B63</f>
        <v>0</v>
      </c>
      <c r="E27" s="427">
        <f>Kassavood!C63</f>
        <v>0</v>
      </c>
      <c r="F27" s="427">
        <f>Kassavood!D63</f>
        <v>0</v>
      </c>
      <c r="G27" s="427">
        <f>Kassavood!E63</f>
        <v>0</v>
      </c>
      <c r="H27" s="427">
        <f>Kassavood!F63</f>
        <v>0</v>
      </c>
      <c r="I27" s="427">
        <f>Kassavood!G63</f>
        <v>0</v>
      </c>
    </row>
    <row r="28" spans="1:9" ht="13" outlineLevel="1" x14ac:dyDescent="0.3">
      <c r="A28" s="307" t="str">
        <f>Kassavood!A64</f>
        <v>…</v>
      </c>
      <c r="B28" s="304"/>
      <c r="C28" s="304"/>
      <c r="D28" s="427">
        <f>Kassavood!B64</f>
        <v>0</v>
      </c>
      <c r="E28" s="427">
        <f>Kassavood!C64</f>
        <v>0</v>
      </c>
      <c r="F28" s="427">
        <f>Kassavood!D64</f>
        <v>0</v>
      </c>
      <c r="G28" s="427">
        <f>Kassavood!E64</f>
        <v>0</v>
      </c>
      <c r="H28" s="427">
        <f>Kassavood!F64</f>
        <v>0</v>
      </c>
      <c r="I28" s="427">
        <f>Kassavood!G64</f>
        <v>0</v>
      </c>
    </row>
    <row r="29" spans="1:9" ht="13" outlineLevel="1" x14ac:dyDescent="0.3">
      <c r="A29" s="307" t="str">
        <f>Kassavood!A65</f>
        <v>…</v>
      </c>
      <c r="B29" s="304"/>
      <c r="C29" s="304"/>
      <c r="D29" s="427">
        <f>Kassavood!B65</f>
        <v>0</v>
      </c>
      <c r="E29" s="427">
        <f>Kassavood!C65</f>
        <v>0</v>
      </c>
      <c r="F29" s="427">
        <f>Kassavood!D65</f>
        <v>0</v>
      </c>
      <c r="G29" s="427">
        <f>Kassavood!E65</f>
        <v>0</v>
      </c>
      <c r="H29" s="427">
        <f>Kassavood!F65</f>
        <v>0</v>
      </c>
      <c r="I29" s="427">
        <f>Kassavood!G65</f>
        <v>0</v>
      </c>
    </row>
    <row r="30" spans="1:9" ht="13" x14ac:dyDescent="0.3">
      <c r="A30" s="59" t="s">
        <v>37</v>
      </c>
      <c r="B30" s="425">
        <f>SUM(B31:B34)</f>
        <v>0</v>
      </c>
      <c r="C30" s="425">
        <f t="shared" ref="C30:I30" si="4">SUM(C31:C34)</f>
        <v>0</v>
      </c>
      <c r="D30" s="425">
        <f t="shared" si="4"/>
        <v>0</v>
      </c>
      <c r="E30" s="425">
        <f t="shared" si="4"/>
        <v>0</v>
      </c>
      <c r="F30" s="425">
        <f t="shared" si="4"/>
        <v>0</v>
      </c>
      <c r="G30" s="425">
        <f t="shared" si="4"/>
        <v>0</v>
      </c>
      <c r="H30" s="425">
        <f t="shared" si="4"/>
        <v>0</v>
      </c>
      <c r="I30" s="425">
        <f t="shared" si="4"/>
        <v>0</v>
      </c>
    </row>
    <row r="31" spans="1:9" outlineLevel="1" x14ac:dyDescent="0.25">
      <c r="A31" s="8" t="str">
        <f>Kassavood!A67</f>
        <v>Telefonikulu</v>
      </c>
      <c r="B31" s="304"/>
      <c r="C31" s="304"/>
      <c r="D31" s="426">
        <f>Kassavood!B67</f>
        <v>0</v>
      </c>
      <c r="E31" s="426">
        <f>Kassavood!C67</f>
        <v>0</v>
      </c>
      <c r="F31" s="426">
        <f>Kassavood!D67</f>
        <v>0</v>
      </c>
      <c r="G31" s="426">
        <f>Kassavood!E67</f>
        <v>0</v>
      </c>
      <c r="H31" s="426">
        <f>Kassavood!F67</f>
        <v>0</v>
      </c>
      <c r="I31" s="426">
        <f>Kassavood!G67</f>
        <v>0</v>
      </c>
    </row>
    <row r="32" spans="1:9" outlineLevel="1" x14ac:dyDescent="0.25">
      <c r="A32" s="8" t="str">
        <f>Kassavood!A68</f>
        <v>Arvutustehnika ja tarkavaraga seotud kulud</v>
      </c>
      <c r="B32" s="304"/>
      <c r="C32" s="304"/>
      <c r="D32" s="426">
        <f>Kassavood!B68</f>
        <v>0</v>
      </c>
      <c r="E32" s="426">
        <f>Kassavood!C68</f>
        <v>0</v>
      </c>
      <c r="F32" s="426">
        <f>Kassavood!D68</f>
        <v>0</v>
      </c>
      <c r="G32" s="426">
        <f>Kassavood!E68</f>
        <v>0</v>
      </c>
      <c r="H32" s="426">
        <f>Kassavood!F68</f>
        <v>0</v>
      </c>
      <c r="I32" s="426">
        <f>Kassavood!G68</f>
        <v>0</v>
      </c>
    </row>
    <row r="33" spans="1:9" ht="13" outlineLevel="1" x14ac:dyDescent="0.3">
      <c r="A33" s="307" t="str">
        <f>Kassavood!A69</f>
        <v>…</v>
      </c>
      <c r="B33" s="304"/>
      <c r="C33" s="304"/>
      <c r="D33" s="426">
        <f>Kassavood!B69</f>
        <v>0</v>
      </c>
      <c r="E33" s="426">
        <f>Kassavood!C69</f>
        <v>0</v>
      </c>
      <c r="F33" s="426">
        <f>Kassavood!D69</f>
        <v>0</v>
      </c>
      <c r="G33" s="426">
        <f>Kassavood!E69</f>
        <v>0</v>
      </c>
      <c r="H33" s="426">
        <f>Kassavood!F69</f>
        <v>0</v>
      </c>
      <c r="I33" s="426">
        <f>Kassavood!G69</f>
        <v>0</v>
      </c>
    </row>
    <row r="34" spans="1:9" ht="13" outlineLevel="1" x14ac:dyDescent="0.3">
      <c r="A34" s="307" t="str">
        <f>Kassavood!A70</f>
        <v>…</v>
      </c>
      <c r="B34" s="304"/>
      <c r="C34" s="304"/>
      <c r="D34" s="426">
        <f>Kassavood!B70</f>
        <v>0</v>
      </c>
      <c r="E34" s="426">
        <f>Kassavood!C70</f>
        <v>0</v>
      </c>
      <c r="F34" s="426">
        <f>Kassavood!D70</f>
        <v>0</v>
      </c>
      <c r="G34" s="426">
        <f>Kassavood!E70</f>
        <v>0</v>
      </c>
      <c r="H34" s="426">
        <f>Kassavood!F70</f>
        <v>0</v>
      </c>
      <c r="I34" s="426">
        <f>Kassavood!G70</f>
        <v>0</v>
      </c>
    </row>
    <row r="35" spans="1:9" ht="13" x14ac:dyDescent="0.3">
      <c r="A35" s="59" t="s">
        <v>96</v>
      </c>
      <c r="B35" s="425">
        <f>SUM(B36:B43)</f>
        <v>0</v>
      </c>
      <c r="C35" s="425">
        <f t="shared" ref="C35:I35" si="5">SUM(C36:C43)</f>
        <v>0</v>
      </c>
      <c r="D35" s="424">
        <f>SUM(D36:D43)</f>
        <v>0</v>
      </c>
      <c r="E35" s="425">
        <f t="shared" si="5"/>
        <v>0</v>
      </c>
      <c r="F35" s="425">
        <f t="shared" si="5"/>
        <v>0</v>
      </c>
      <c r="G35" s="425">
        <f t="shared" si="5"/>
        <v>0</v>
      </c>
      <c r="H35" s="425">
        <f t="shared" si="5"/>
        <v>0</v>
      </c>
      <c r="I35" s="425">
        <f t="shared" si="5"/>
        <v>0</v>
      </c>
    </row>
    <row r="36" spans="1:9" outlineLevel="1" x14ac:dyDescent="0.25">
      <c r="A36" s="11" t="str">
        <f>Kassavood!A73</f>
        <v>Kantseleitarbed</v>
      </c>
      <c r="B36" s="306"/>
      <c r="C36" s="306"/>
      <c r="D36" s="426">
        <f>Kassavood!B73</f>
        <v>0</v>
      </c>
      <c r="E36" s="426">
        <f>Kassavood!C73</f>
        <v>0</v>
      </c>
      <c r="F36" s="426">
        <f>Kassavood!D73</f>
        <v>0</v>
      </c>
      <c r="G36" s="426">
        <f>Kassavood!E73</f>
        <v>0</v>
      </c>
      <c r="H36" s="426">
        <f>Kassavood!F73</f>
        <v>0</v>
      </c>
      <c r="I36" s="426">
        <f>Kassavood!G73</f>
        <v>0</v>
      </c>
    </row>
    <row r="37" spans="1:9" outlineLevel="1" x14ac:dyDescent="0.25">
      <c r="A37" s="11" t="str">
        <f>Kassavood!A74</f>
        <v>Reklaamikulud</v>
      </c>
      <c r="B37" s="306"/>
      <c r="C37" s="306"/>
      <c r="D37" s="426">
        <f>Kassavood!B74</f>
        <v>0</v>
      </c>
      <c r="E37" s="428">
        <f>Kassavood!C74</f>
        <v>0</v>
      </c>
      <c r="F37" s="428">
        <f>Kassavood!D74</f>
        <v>0</v>
      </c>
      <c r="G37" s="428">
        <f>Kassavood!E74</f>
        <v>0</v>
      </c>
      <c r="H37" s="428">
        <f>Kassavood!F74</f>
        <v>0</v>
      </c>
      <c r="I37" s="428">
        <f>Kassavood!G74</f>
        <v>0</v>
      </c>
    </row>
    <row r="38" spans="1:9" outlineLevel="1" x14ac:dyDescent="0.25">
      <c r="A38" s="11" t="str">
        <f>Kassavood!A75</f>
        <v>Turustamisega seotud kulud</v>
      </c>
      <c r="B38" s="306"/>
      <c r="C38" s="306"/>
      <c r="D38" s="426">
        <f>Kassavood!B75</f>
        <v>0</v>
      </c>
      <c r="E38" s="427">
        <f>Kassavood!C75</f>
        <v>0</v>
      </c>
      <c r="F38" s="427">
        <f>Kassavood!D75</f>
        <v>0</v>
      </c>
      <c r="G38" s="427">
        <f>Kassavood!E75</f>
        <v>0</v>
      </c>
      <c r="H38" s="427">
        <f>Kassavood!F75</f>
        <v>0</v>
      </c>
      <c r="I38" s="427">
        <f>Kassavood!G75</f>
        <v>0</v>
      </c>
    </row>
    <row r="39" spans="1:9" outlineLevel="1" x14ac:dyDescent="0.25">
      <c r="A39" s="11" t="str">
        <f>Kassavood!A76</f>
        <v>Koolituskulud</v>
      </c>
      <c r="B39" s="306"/>
      <c r="C39" s="306"/>
      <c r="D39" s="426">
        <f>Kassavood!B76</f>
        <v>0</v>
      </c>
      <c r="E39" s="427">
        <f>Kassavood!C76</f>
        <v>0</v>
      </c>
      <c r="F39" s="427">
        <f>Kassavood!D76</f>
        <v>0</v>
      </c>
      <c r="G39" s="427">
        <f>Kassavood!E76</f>
        <v>0</v>
      </c>
      <c r="H39" s="427">
        <f>Kassavood!F76</f>
        <v>0</v>
      </c>
      <c r="I39" s="427">
        <f>Kassavood!G76</f>
        <v>0</v>
      </c>
    </row>
    <row r="40" spans="1:9" outlineLevel="1" x14ac:dyDescent="0.25">
      <c r="A40" s="46" t="s">
        <v>39</v>
      </c>
      <c r="B40" s="306"/>
      <c r="C40" s="306"/>
      <c r="D40" s="426">
        <f>Kassavood!B77</f>
        <v>0</v>
      </c>
      <c r="E40" s="429">
        <f>Kassavood!C77</f>
        <v>0</v>
      </c>
      <c r="F40" s="429">
        <f>Kassavood!D77</f>
        <v>0</v>
      </c>
      <c r="G40" s="429">
        <f>Kassavood!E77</f>
        <v>0</v>
      </c>
      <c r="H40" s="429">
        <f>Kassavood!F77</f>
        <v>0</v>
      </c>
      <c r="I40" s="429">
        <f>Kassavood!G77</f>
        <v>0</v>
      </c>
    </row>
    <row r="41" spans="1:9" outlineLevel="1" x14ac:dyDescent="0.25">
      <c r="A41" s="11" t="str">
        <f>Kassavood!A78</f>
        <v>Muud tegevuskulud</v>
      </c>
      <c r="B41" s="306"/>
      <c r="C41" s="306"/>
      <c r="D41" s="426">
        <f>Kassavood!B78</f>
        <v>0</v>
      </c>
      <c r="E41" s="426">
        <f>Kassavood!C78</f>
        <v>0</v>
      </c>
      <c r="F41" s="426">
        <f>Kassavood!D78</f>
        <v>0</v>
      </c>
      <c r="G41" s="426">
        <f>Kassavood!E78</f>
        <v>0</v>
      </c>
      <c r="H41" s="426">
        <f>Kassavood!F78</f>
        <v>0</v>
      </c>
      <c r="I41" s="426">
        <f>Kassavood!G78</f>
        <v>0</v>
      </c>
    </row>
    <row r="42" spans="1:9" outlineLevel="1" x14ac:dyDescent="0.25">
      <c r="A42" s="128" t="s">
        <v>219</v>
      </c>
      <c r="B42" s="306"/>
      <c r="C42" s="306"/>
      <c r="D42" s="426">
        <f>Kassavood!B79</f>
        <v>0</v>
      </c>
      <c r="E42" s="426">
        <f>Kassavood!C79</f>
        <v>0</v>
      </c>
      <c r="F42" s="426">
        <f>Kassavood!D79</f>
        <v>0</v>
      </c>
      <c r="G42" s="426">
        <f>Kassavood!E79</f>
        <v>0</v>
      </c>
      <c r="H42" s="426">
        <f>Kassavood!F79</f>
        <v>0</v>
      </c>
      <c r="I42" s="426">
        <f>Kassavood!G79</f>
        <v>0</v>
      </c>
    </row>
    <row r="43" spans="1:9" ht="13" outlineLevel="1" x14ac:dyDescent="0.3">
      <c r="A43" s="308" t="str">
        <f>Kassavood!A80</f>
        <v>…</v>
      </c>
      <c r="B43" s="306"/>
      <c r="C43" s="306"/>
      <c r="D43" s="426">
        <f>Kassavood!B80</f>
        <v>0</v>
      </c>
      <c r="E43" s="426">
        <f>Kassavood!C80</f>
        <v>0</v>
      </c>
      <c r="F43" s="426">
        <f>Kassavood!D80</f>
        <v>0</v>
      </c>
      <c r="G43" s="426">
        <f>Kassavood!E80</f>
        <v>0</v>
      </c>
      <c r="H43" s="426">
        <f>Kassavood!F80</f>
        <v>0</v>
      </c>
      <c r="I43" s="426">
        <f>Kassavood!G80</f>
        <v>0</v>
      </c>
    </row>
    <row r="44" spans="1:9" ht="13" x14ac:dyDescent="0.3">
      <c r="A44" s="59" t="s">
        <v>81</v>
      </c>
      <c r="B44" s="425">
        <f>SUM(B45:B48)</f>
        <v>0</v>
      </c>
      <c r="C44" s="425">
        <f>SUM(C45:C48)</f>
        <v>0</v>
      </c>
      <c r="D44" s="424">
        <f>SUM(D45:D48)</f>
        <v>0</v>
      </c>
      <c r="E44" s="424">
        <f t="shared" ref="E44:I44" si="6">SUM(E45:E48)</f>
        <v>0</v>
      </c>
      <c r="F44" s="424">
        <f t="shared" si="6"/>
        <v>0</v>
      </c>
      <c r="G44" s="424">
        <f t="shared" si="6"/>
        <v>0</v>
      </c>
      <c r="H44" s="424">
        <f t="shared" si="6"/>
        <v>0</v>
      </c>
      <c r="I44" s="424">
        <f t="shared" si="6"/>
        <v>0</v>
      </c>
    </row>
    <row r="45" spans="1:9" outlineLevel="1" x14ac:dyDescent="0.25">
      <c r="A45" s="129" t="str">
        <f>Kassavood!A83</f>
        <v>Palk (makstakse välja samal kuul, sisaldab tulumaksu ja seda osa, mis peetakse palgast kinni töötukindlustus)</v>
      </c>
      <c r="B45" s="309"/>
      <c r="C45" s="309"/>
      <c r="D45" s="426">
        <f>Kassavood!B83</f>
        <v>0</v>
      </c>
      <c r="E45" s="426">
        <f>Kassavood!C83</f>
        <v>0</v>
      </c>
      <c r="F45" s="426">
        <f>Kassavood!D83</f>
        <v>0</v>
      </c>
      <c r="G45" s="426">
        <f>Kassavood!E83</f>
        <v>0</v>
      </c>
      <c r="H45" s="426">
        <f>Kassavood!F83</f>
        <v>0</v>
      </c>
      <c r="I45" s="426">
        <f>Kassavood!G83</f>
        <v>0</v>
      </c>
    </row>
    <row r="46" spans="1:9" outlineLevel="1" x14ac:dyDescent="0.25">
      <c r="A46" s="129" t="str">
        <f>Kassavood!A84</f>
        <v>Sotsiaalmaks (tasutakse järgmisel kuul)</v>
      </c>
      <c r="B46" s="309"/>
      <c r="C46" s="310"/>
      <c r="D46" s="426">
        <f>Kassavood!B84</f>
        <v>0</v>
      </c>
      <c r="E46" s="426">
        <f>Kassavood!C84</f>
        <v>0</v>
      </c>
      <c r="F46" s="426">
        <f>Kassavood!D84</f>
        <v>0</v>
      </c>
      <c r="G46" s="426">
        <f>Kassavood!E84</f>
        <v>0</v>
      </c>
      <c r="H46" s="426">
        <f>Kassavood!F84</f>
        <v>0</v>
      </c>
      <c r="I46" s="426">
        <f>Kassavood!G84</f>
        <v>0</v>
      </c>
    </row>
    <row r="47" spans="1:9" outlineLevel="1" x14ac:dyDescent="0.25">
      <c r="A47" s="112" t="str">
        <f>Kassavood!A85</f>
        <v>Töötuskindlustusmaks (tasutakse järgmisel kuul)</v>
      </c>
      <c r="B47" s="304"/>
      <c r="C47" s="306"/>
      <c r="D47" s="426">
        <f>Kassavood!B85</f>
        <v>0</v>
      </c>
      <c r="E47" s="426">
        <f>Kassavood!C85</f>
        <v>0</v>
      </c>
      <c r="F47" s="426">
        <f>Kassavood!D85</f>
        <v>0</v>
      </c>
      <c r="G47" s="426">
        <f>Kassavood!E85</f>
        <v>0</v>
      </c>
      <c r="H47" s="426">
        <f>Kassavood!F85</f>
        <v>0</v>
      </c>
      <c r="I47" s="426">
        <f>Kassavood!G85</f>
        <v>0</v>
      </c>
    </row>
    <row r="48" spans="1:9" ht="13" outlineLevel="1" x14ac:dyDescent="0.3">
      <c r="A48" s="307" t="str">
        <f>Kassavood!A86</f>
        <v>…</v>
      </c>
      <c r="B48" s="304"/>
      <c r="C48" s="306"/>
      <c r="D48" s="426">
        <f>Kassavood!B86</f>
        <v>0</v>
      </c>
      <c r="E48" s="426">
        <f>Kassavood!C86</f>
        <v>0</v>
      </c>
      <c r="F48" s="426">
        <f>Kassavood!D86</f>
        <v>0</v>
      </c>
      <c r="G48" s="426">
        <f>Kassavood!E86</f>
        <v>0</v>
      </c>
      <c r="H48" s="426">
        <f>Kassavood!F86</f>
        <v>0</v>
      </c>
      <c r="I48" s="426">
        <f>Kassavood!G86</f>
        <v>0</v>
      </c>
    </row>
    <row r="49" spans="1:9" ht="13" x14ac:dyDescent="0.3">
      <c r="A49" s="162" t="s">
        <v>102</v>
      </c>
      <c r="B49" s="430">
        <f>SUM(B50:B53)</f>
        <v>0</v>
      </c>
      <c r="C49" s="430">
        <f t="shared" ref="C49:I49" si="7">SUM(C50:C53)</f>
        <v>0</v>
      </c>
      <c r="D49" s="431">
        <f>SUM(D50:D53)</f>
        <v>0</v>
      </c>
      <c r="E49" s="430">
        <f t="shared" si="7"/>
        <v>0</v>
      </c>
      <c r="F49" s="430">
        <f t="shared" si="7"/>
        <v>0</v>
      </c>
      <c r="G49" s="430">
        <f t="shared" si="7"/>
        <v>0</v>
      </c>
      <c r="H49" s="430">
        <f t="shared" si="7"/>
        <v>0</v>
      </c>
      <c r="I49" s="430">
        <f t="shared" si="7"/>
        <v>0</v>
      </c>
    </row>
    <row r="50" spans="1:9" outlineLevel="1" x14ac:dyDescent="0.25">
      <c r="A50" s="8" t="s">
        <v>103</v>
      </c>
      <c r="B50" s="304"/>
      <c r="C50" s="304"/>
      <c r="D50" s="426">
        <f>Kassavood!B107</f>
        <v>0</v>
      </c>
      <c r="E50" s="426">
        <f>Kassavood!C107</f>
        <v>0</v>
      </c>
      <c r="F50" s="426">
        <f>Kassavood!D107</f>
        <v>0</v>
      </c>
      <c r="G50" s="426">
        <f>Kassavood!E107</f>
        <v>0</v>
      </c>
      <c r="H50" s="426">
        <f>Kassavood!F107</f>
        <v>0</v>
      </c>
      <c r="I50" s="426">
        <f>Kassavood!G107</f>
        <v>0</v>
      </c>
    </row>
    <row r="51" spans="1:9" outlineLevel="1" x14ac:dyDescent="0.25">
      <c r="A51" s="8" t="s">
        <v>104</v>
      </c>
      <c r="B51" s="304"/>
      <c r="C51" s="304"/>
      <c r="D51" s="426">
        <f>Kassavood!B108</f>
        <v>0</v>
      </c>
      <c r="E51" s="426">
        <f>Kassavood!C108</f>
        <v>0</v>
      </c>
      <c r="F51" s="426">
        <f>Kassavood!D108</f>
        <v>0</v>
      </c>
      <c r="G51" s="426">
        <f>Kassavood!E108</f>
        <v>0</v>
      </c>
      <c r="H51" s="426">
        <f>Kassavood!F108</f>
        <v>0</v>
      </c>
      <c r="I51" s="426">
        <f>Kassavood!G108</f>
        <v>0</v>
      </c>
    </row>
    <row r="52" spans="1:9" outlineLevel="1" x14ac:dyDescent="0.25">
      <c r="A52" s="8" t="s">
        <v>105</v>
      </c>
      <c r="B52" s="304"/>
      <c r="C52" s="304"/>
      <c r="D52" s="426">
        <f>Kassavood!B109</f>
        <v>0</v>
      </c>
      <c r="E52" s="426">
        <f>Kassavood!C109</f>
        <v>0</v>
      </c>
      <c r="F52" s="426">
        <f>Kassavood!D109</f>
        <v>0</v>
      </c>
      <c r="G52" s="426">
        <f>Kassavood!E109</f>
        <v>0</v>
      </c>
      <c r="H52" s="426">
        <f>Kassavood!F109</f>
        <v>0</v>
      </c>
      <c r="I52" s="426">
        <f>Kassavood!G109</f>
        <v>0</v>
      </c>
    </row>
    <row r="53" spans="1:9" outlineLevel="1" x14ac:dyDescent="0.25">
      <c r="A53" s="112" t="s">
        <v>63</v>
      </c>
      <c r="B53" s="304"/>
      <c r="C53" s="304"/>
      <c r="D53" s="426">
        <f>Kassavood!B111</f>
        <v>0</v>
      </c>
      <c r="E53" s="426">
        <f>Kassavood!C111</f>
        <v>0</v>
      </c>
      <c r="F53" s="426">
        <f>Kassavood!D111</f>
        <v>0</v>
      </c>
      <c r="G53" s="426">
        <f>Kassavood!E111</f>
        <v>0</v>
      </c>
      <c r="H53" s="426">
        <f>Kassavood!F111</f>
        <v>0</v>
      </c>
      <c r="I53" s="426">
        <f>Kassavood!G111</f>
        <v>0</v>
      </c>
    </row>
    <row r="54" spans="1:9" ht="13" x14ac:dyDescent="0.3">
      <c r="A54" s="163" t="str">
        <f>Kassavood!A87</f>
        <v>Muud ärikulud</v>
      </c>
      <c r="B54" s="311"/>
      <c r="C54" s="311"/>
      <c r="D54" s="432"/>
      <c r="E54" s="432"/>
      <c r="F54" s="432"/>
      <c r="G54" s="433"/>
      <c r="H54" s="433"/>
      <c r="I54" s="432"/>
    </row>
    <row r="55" spans="1:9" ht="13" x14ac:dyDescent="0.3">
      <c r="A55" s="56" t="s">
        <v>54</v>
      </c>
      <c r="B55" s="424">
        <f t="shared" ref="B55:I55" si="8">SUM(B13:B16)+B17+B25+B30+B35+B44+B49+B54</f>
        <v>0</v>
      </c>
      <c r="C55" s="424">
        <f t="shared" si="8"/>
        <v>0</v>
      </c>
      <c r="D55" s="424">
        <f t="shared" si="8"/>
        <v>0</v>
      </c>
      <c r="E55" s="424">
        <f t="shared" si="8"/>
        <v>0</v>
      </c>
      <c r="F55" s="424">
        <f t="shared" si="8"/>
        <v>0</v>
      </c>
      <c r="G55" s="424">
        <f t="shared" si="8"/>
        <v>0</v>
      </c>
      <c r="H55" s="424">
        <f t="shared" si="8"/>
        <v>0</v>
      </c>
      <c r="I55" s="424">
        <f t="shared" si="8"/>
        <v>0</v>
      </c>
    </row>
    <row r="56" spans="1:9" ht="13" x14ac:dyDescent="0.3">
      <c r="A56" s="61" t="s">
        <v>257</v>
      </c>
      <c r="B56" s="434">
        <f>B8-B55</f>
        <v>0</v>
      </c>
      <c r="C56" s="434">
        <f>C8-C55</f>
        <v>0</v>
      </c>
      <c r="D56" s="434">
        <f t="shared" ref="D56:I56" si="9">D8-D55</f>
        <v>0</v>
      </c>
      <c r="E56" s="434">
        <f t="shared" si="9"/>
        <v>0</v>
      </c>
      <c r="F56" s="434">
        <f t="shared" si="9"/>
        <v>0</v>
      </c>
      <c r="G56" s="434">
        <f t="shared" si="9"/>
        <v>0</v>
      </c>
      <c r="H56" s="434">
        <f t="shared" si="9"/>
        <v>0</v>
      </c>
      <c r="I56" s="434">
        <f t="shared" si="9"/>
        <v>0</v>
      </c>
    </row>
    <row r="57" spans="1:9" x14ac:dyDescent="0.25">
      <c r="A57" s="32" t="s">
        <v>183</v>
      </c>
      <c r="B57" s="341"/>
      <c r="C57" s="341"/>
      <c r="D57" s="341"/>
      <c r="E57" s="341"/>
      <c r="F57" s="341"/>
      <c r="G57" s="435"/>
      <c r="H57" s="435"/>
      <c r="I57" s="341"/>
    </row>
    <row r="58" spans="1:9" x14ac:dyDescent="0.25">
      <c r="A58" s="32" t="s">
        <v>180</v>
      </c>
      <c r="B58" s="341"/>
      <c r="C58" s="341"/>
      <c r="D58" s="341"/>
      <c r="E58" s="341"/>
      <c r="F58" s="341"/>
      <c r="G58" s="435"/>
      <c r="H58" s="435"/>
      <c r="I58" s="341"/>
    </row>
    <row r="59" spans="1:9" x14ac:dyDescent="0.25">
      <c r="A59" s="32" t="s">
        <v>181</v>
      </c>
      <c r="B59" s="341"/>
      <c r="C59" s="341"/>
      <c r="D59" s="341"/>
      <c r="E59" s="341"/>
      <c r="F59" s="341"/>
      <c r="G59" s="435"/>
      <c r="H59" s="435"/>
      <c r="I59" s="341"/>
    </row>
    <row r="60" spans="1:9" ht="14.5" x14ac:dyDescent="0.25">
      <c r="A60" s="32" t="s">
        <v>186</v>
      </c>
      <c r="B60" s="341"/>
      <c r="C60" s="341"/>
      <c r="D60" s="436">
        <f>Kassavood!B23</f>
        <v>0</v>
      </c>
      <c r="E60" s="436">
        <f>Kassavood!C23</f>
        <v>0</v>
      </c>
      <c r="F60" s="436">
        <f>Kassavood!D23</f>
        <v>0</v>
      </c>
      <c r="G60" s="436">
        <f>Kassavood!E23</f>
        <v>0</v>
      </c>
      <c r="H60" s="436">
        <f>Kassavood!F23</f>
        <v>0</v>
      </c>
      <c r="I60" s="436">
        <f>Kassavood!G23</f>
        <v>0</v>
      </c>
    </row>
    <row r="61" spans="1:9" ht="14.5" x14ac:dyDescent="0.25">
      <c r="A61" s="32" t="s">
        <v>182</v>
      </c>
      <c r="B61" s="341"/>
      <c r="C61" s="341"/>
      <c r="D61" s="436">
        <f>-(Kassavood!B90)</f>
        <v>0</v>
      </c>
      <c r="E61" s="436">
        <f>-(Kassavood!C90)</f>
        <v>0</v>
      </c>
      <c r="F61" s="436">
        <f>-(Kassavood!D90)</f>
        <v>0</v>
      </c>
      <c r="G61" s="436">
        <f>-(Kassavood!E90)</f>
        <v>0</v>
      </c>
      <c r="H61" s="436">
        <f>-(Kassavood!F90)</f>
        <v>0</v>
      </c>
      <c r="I61" s="436">
        <f>-(Kassavood!G90)</f>
        <v>0</v>
      </c>
    </row>
    <row r="62" spans="1:9" x14ac:dyDescent="0.25">
      <c r="A62" s="27" t="s">
        <v>220</v>
      </c>
      <c r="B62" s="341"/>
      <c r="C62" s="341"/>
      <c r="D62" s="437"/>
      <c r="E62" s="437"/>
      <c r="F62" s="437"/>
      <c r="G62" s="437"/>
      <c r="H62" s="437"/>
      <c r="I62" s="437"/>
    </row>
    <row r="63" spans="1:9" x14ac:dyDescent="0.25">
      <c r="A63" s="43" t="s">
        <v>185</v>
      </c>
      <c r="B63" s="341"/>
      <c r="C63" s="341"/>
      <c r="D63" s="437"/>
      <c r="E63" s="437"/>
      <c r="F63" s="437"/>
      <c r="G63" s="437"/>
      <c r="H63" s="437"/>
      <c r="I63" s="437"/>
    </row>
    <row r="64" spans="1:9" ht="13" x14ac:dyDescent="0.3">
      <c r="A64" s="12" t="s">
        <v>184</v>
      </c>
      <c r="B64" s="438">
        <f t="shared" ref="B64:I64" si="10">SUM(B56:B63)</f>
        <v>0</v>
      </c>
      <c r="C64" s="438">
        <f t="shared" si="10"/>
        <v>0</v>
      </c>
      <c r="D64" s="438">
        <f t="shared" si="10"/>
        <v>0</v>
      </c>
      <c r="E64" s="438">
        <f t="shared" si="10"/>
        <v>0</v>
      </c>
      <c r="F64" s="438">
        <f t="shared" si="10"/>
        <v>0</v>
      </c>
      <c r="G64" s="438">
        <f t="shared" si="10"/>
        <v>0</v>
      </c>
      <c r="H64" s="438">
        <f t="shared" si="10"/>
        <v>0</v>
      </c>
      <c r="I64" s="438">
        <f t="shared" si="10"/>
        <v>0</v>
      </c>
    </row>
    <row r="65" spans="1:9" ht="13" x14ac:dyDescent="0.25">
      <c r="A65" s="121" t="s">
        <v>55</v>
      </c>
      <c r="B65" s="366"/>
      <c r="C65" s="367"/>
      <c r="D65" s="439">
        <f>ROUND(Töötajad!B15,2)</f>
        <v>0</v>
      </c>
      <c r="E65" s="439">
        <f>ROUND(Töötajad!C15,2)</f>
        <v>0</v>
      </c>
      <c r="F65" s="439">
        <f>ROUND(Töötajad!D15,2)</f>
        <v>0</v>
      </c>
      <c r="G65" s="439">
        <f>ROUND(Töötajad!E15,2)</f>
        <v>0</v>
      </c>
      <c r="H65" s="439">
        <f>ROUND(Töötajad!F15,2)</f>
        <v>0</v>
      </c>
      <c r="I65" s="439">
        <f>ROUND(Töötajad!G15,2)</f>
        <v>0</v>
      </c>
    </row>
    <row r="66" spans="1:9" s="266" customFormat="1" ht="25" customHeight="1" x14ac:dyDescent="0.25">
      <c r="A66" s="265" t="s">
        <v>84</v>
      </c>
      <c r="B66" s="440" t="str">
        <f t="shared" ref="B66:I66" si="11">IF(B65&gt;0,(B56+B44+B49)/B65,"Töötajate arv on null")</f>
        <v>Töötajate arv on null</v>
      </c>
      <c r="C66" s="440" t="str">
        <f t="shared" si="11"/>
        <v>Töötajate arv on null</v>
      </c>
      <c r="D66" s="440" t="str">
        <f t="shared" si="11"/>
        <v>Töötajate arv on null</v>
      </c>
      <c r="E66" s="440" t="str">
        <f t="shared" si="11"/>
        <v>Töötajate arv on null</v>
      </c>
      <c r="F66" s="440" t="str">
        <f t="shared" si="11"/>
        <v>Töötajate arv on null</v>
      </c>
      <c r="G66" s="440" t="str">
        <f t="shared" si="11"/>
        <v>Töötajate arv on null</v>
      </c>
      <c r="H66" s="440" t="str">
        <f t="shared" si="11"/>
        <v>Töötajate arv on null</v>
      </c>
      <c r="I66" s="440" t="str">
        <f t="shared" si="11"/>
        <v>Töötajate arv on null</v>
      </c>
    </row>
    <row r="67" spans="1:9" x14ac:dyDescent="0.25">
      <c r="A67" s="121"/>
      <c r="B67" s="130"/>
      <c r="C67" s="130"/>
      <c r="D67" s="130"/>
      <c r="E67" s="130"/>
      <c r="F67" s="130"/>
      <c r="G67" s="130"/>
      <c r="H67" s="130"/>
      <c r="I67" s="130"/>
    </row>
  </sheetData>
  <sheetProtection algorithmName="SHA-512" hashValue="JYmBOr7+KRhZHEQd6EnR7IXSqqdwhdHQ9hrhNXPkVSgccMNbxe7mzgTW3VEsycbZ1faQ74B9pqUHOA4BUhfORA==" saltValue="8HvktyZNtkti+cuyn3eBrQ==" spinCount="100000" sheet="1" objects="1" scenarios="1"/>
  <mergeCells count="8">
    <mergeCell ref="G1:G2"/>
    <mergeCell ref="H1:H2"/>
    <mergeCell ref="I1:I2"/>
    <mergeCell ref="C1:C2"/>
    <mergeCell ref="B1:B2"/>
    <mergeCell ref="D1:D2"/>
    <mergeCell ref="E1:E2"/>
    <mergeCell ref="F1:F2"/>
  </mergeCells>
  <conditionalFormatting sqref="C64:I65 B64:I64">
    <cfRule type="cellIs" dxfId="16" priority="2" stopIfTrue="1" operator="lessThan">
      <formula>0</formula>
    </cfRule>
  </conditionalFormatting>
  <pageMargins left="0.59055118110236238" right="0.74803149606299213" top="0.39370078740157477" bottom="0.19685039370078738" header="0" footer="0"/>
  <pageSetup paperSize="9" scale="8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eht5">
    <outlinePr summaryBelow="0" summaryRight="0"/>
    <pageSetUpPr fitToPage="1"/>
  </sheetPr>
  <dimension ref="A1:S70"/>
  <sheetViews>
    <sheetView zoomScale="80" zoomScaleNormal="80" workbookViewId="0">
      <pane ySplit="2" topLeftCell="A30" activePane="bottomLeft" state="frozen"/>
      <selection pane="bottomLeft" activeCell="D48" sqref="D48"/>
    </sheetView>
  </sheetViews>
  <sheetFormatPr defaultColWidth="9.1796875" defaultRowHeight="12.5" outlineLevelRow="2" x14ac:dyDescent="0.25"/>
  <cols>
    <col min="1" max="1" width="84.1796875" style="13" customWidth="1"/>
    <col min="2" max="2" width="14" style="13" customWidth="1"/>
    <col min="3" max="3" width="11.453125" style="14" customWidth="1"/>
    <col min="4" max="9" width="10.81640625" style="13" customWidth="1"/>
    <col min="10" max="16384" width="9.1796875" style="13"/>
  </cols>
  <sheetData>
    <row r="1" spans="1:19" ht="39" x14ac:dyDescent="0.3">
      <c r="A1" s="30" t="s">
        <v>57</v>
      </c>
      <c r="B1" s="15" t="s">
        <v>362</v>
      </c>
      <c r="C1" s="15" t="s">
        <v>362</v>
      </c>
      <c r="D1" s="45" t="s">
        <v>206</v>
      </c>
      <c r="E1" s="45" t="s">
        <v>49</v>
      </c>
      <c r="F1" s="45" t="s">
        <v>58</v>
      </c>
      <c r="G1" s="45" t="s">
        <v>59</v>
      </c>
      <c r="H1" s="45" t="s">
        <v>23</v>
      </c>
      <c r="I1" s="45" t="s">
        <v>205</v>
      </c>
    </row>
    <row r="2" spans="1:19" ht="13" x14ac:dyDescent="0.3">
      <c r="A2" s="29"/>
      <c r="B2" s="16">
        <v>44926</v>
      </c>
      <c r="C2" s="16">
        <v>45291</v>
      </c>
      <c r="D2" s="17">
        <v>2024</v>
      </c>
      <c r="E2" s="17">
        <v>2025</v>
      </c>
      <c r="F2" s="17">
        <v>2026</v>
      </c>
      <c r="G2" s="17">
        <v>2027</v>
      </c>
      <c r="H2" s="17">
        <v>2028</v>
      </c>
      <c r="I2" s="17">
        <v>2029</v>
      </c>
    </row>
    <row r="3" spans="1:19" x14ac:dyDescent="0.25">
      <c r="A3" s="18"/>
      <c r="B3" s="18"/>
      <c r="D3" s="19"/>
      <c r="E3" s="19"/>
      <c r="F3" s="19"/>
      <c r="G3" s="19"/>
      <c r="H3" s="19"/>
      <c r="I3" s="19"/>
    </row>
    <row r="4" spans="1:19" ht="13" x14ac:dyDescent="0.3">
      <c r="A4" s="30" t="s">
        <v>60</v>
      </c>
      <c r="B4" s="30"/>
      <c r="C4" s="20"/>
      <c r="D4" s="19"/>
      <c r="E4" s="19"/>
      <c r="F4" s="19"/>
      <c r="G4" s="19"/>
      <c r="H4" s="19"/>
      <c r="I4" s="19"/>
    </row>
    <row r="5" spans="1:19" ht="13" x14ac:dyDescent="0.3">
      <c r="A5" s="29" t="s">
        <v>91</v>
      </c>
      <c r="B5" s="29"/>
      <c r="C5" s="20"/>
      <c r="D5" s="19"/>
      <c r="E5" s="19"/>
      <c r="F5" s="19"/>
      <c r="G5" s="19"/>
      <c r="H5" s="19"/>
      <c r="I5" s="19"/>
    </row>
    <row r="6" spans="1:19" x14ac:dyDescent="0.25">
      <c r="A6" s="63" t="s">
        <v>118</v>
      </c>
      <c r="B6" s="289"/>
      <c r="C6" s="290"/>
      <c r="D6" s="370">
        <f>Kassavood!B98</f>
        <v>0</v>
      </c>
      <c r="E6" s="370">
        <f>Kassavood!C98</f>
        <v>0</v>
      </c>
      <c r="F6" s="370">
        <f>Kassavood!D98</f>
        <v>0</v>
      </c>
      <c r="G6" s="370">
        <f>Kassavood!E98</f>
        <v>0</v>
      </c>
      <c r="H6" s="370">
        <f>Kassavood!F98</f>
        <v>0</v>
      </c>
      <c r="I6" s="370">
        <f>Kassavood!G98</f>
        <v>0</v>
      </c>
      <c r="S6" s="21"/>
    </row>
    <row r="7" spans="1:19" ht="25" x14ac:dyDescent="0.25">
      <c r="A7" s="64" t="s">
        <v>123</v>
      </c>
      <c r="B7" s="292"/>
      <c r="C7" s="292"/>
      <c r="D7" s="361"/>
      <c r="E7" s="361"/>
      <c r="F7" s="362"/>
      <c r="G7" s="362"/>
      <c r="H7" s="361"/>
      <c r="I7" s="361"/>
      <c r="S7" s="21"/>
    </row>
    <row r="8" spans="1:19" x14ac:dyDescent="0.25">
      <c r="A8" s="63" t="s">
        <v>119</v>
      </c>
      <c r="B8" s="289">
        <f>SUM(B9:B13)</f>
        <v>0</v>
      </c>
      <c r="C8" s="289">
        <f t="shared" ref="C8:I8" si="0">SUM(C9:C13)</f>
        <v>0</v>
      </c>
      <c r="D8" s="289">
        <f t="shared" si="0"/>
        <v>0</v>
      </c>
      <c r="E8" s="289">
        <f t="shared" si="0"/>
        <v>0</v>
      </c>
      <c r="F8" s="289">
        <f t="shared" si="0"/>
        <v>0</v>
      </c>
      <c r="G8" s="289">
        <f t="shared" si="0"/>
        <v>0</v>
      </c>
      <c r="H8" s="289">
        <f t="shared" si="0"/>
        <v>0</v>
      </c>
      <c r="I8" s="289">
        <f t="shared" si="0"/>
        <v>0</v>
      </c>
      <c r="S8" s="21"/>
    </row>
    <row r="9" spans="1:19" outlineLevel="1" x14ac:dyDescent="0.25">
      <c r="A9" s="36" t="s">
        <v>140</v>
      </c>
      <c r="B9" s="291"/>
      <c r="C9" s="291"/>
      <c r="D9" s="360">
        <f>Kassavood!C14</f>
        <v>0</v>
      </c>
      <c r="E9" s="360">
        <f>Kassavood!D14</f>
        <v>0</v>
      </c>
      <c r="F9" s="360">
        <f>Kassavood!E14</f>
        <v>0</v>
      </c>
      <c r="G9" s="360">
        <f>Kassavood!F14</f>
        <v>0</v>
      </c>
      <c r="H9" s="360">
        <f>Kassavood!G14</f>
        <v>0</v>
      </c>
      <c r="I9" s="360">
        <f>Kassavood!H14</f>
        <v>0</v>
      </c>
    </row>
    <row r="10" spans="1:19" outlineLevel="1" x14ac:dyDescent="0.25">
      <c r="A10" s="36" t="s">
        <v>141</v>
      </c>
      <c r="B10" s="291"/>
      <c r="C10" s="291"/>
      <c r="D10" s="360"/>
      <c r="E10" s="360"/>
      <c r="F10" s="360"/>
      <c r="G10" s="360"/>
      <c r="H10" s="360"/>
      <c r="I10" s="360"/>
    </row>
    <row r="11" spans="1:19" outlineLevel="1" x14ac:dyDescent="0.25">
      <c r="A11" s="36" t="s">
        <v>148</v>
      </c>
      <c r="B11" s="291"/>
      <c r="C11" s="291"/>
      <c r="D11" s="348"/>
      <c r="E11" s="348"/>
      <c r="F11" s="348"/>
      <c r="G11" s="348"/>
      <c r="H11" s="348"/>
      <c r="I11" s="348"/>
    </row>
    <row r="12" spans="1:19" outlineLevel="1" x14ac:dyDescent="0.25">
      <c r="A12" s="36" t="s">
        <v>149</v>
      </c>
      <c r="B12" s="291"/>
      <c r="C12" s="291"/>
      <c r="D12" s="360">
        <f>IF(Kassavood!B103&lt;0,C12+ABS(Kassavood!B103),C12)</f>
        <v>0</v>
      </c>
      <c r="E12" s="360">
        <f>IF(Kassavood!C103&lt;0,D12+ABS(Kassavood!C103),D12)</f>
        <v>0</v>
      </c>
      <c r="F12" s="360">
        <f>IF(Kassavood!D103&lt;0,E12+ABS(Kassavood!D103),E12)</f>
        <v>0</v>
      </c>
      <c r="G12" s="360">
        <f>IF(Kassavood!E103&lt;0,F12+ABS(Kassavood!E103),F12)</f>
        <v>0</v>
      </c>
      <c r="H12" s="360">
        <f>IF(Kassavood!F103&lt;0,G12+ABS(Kassavood!F103),G12)</f>
        <v>0</v>
      </c>
      <c r="I12" s="360">
        <f>IF(Kassavood!G103&lt;0,H12+ABS(Kassavood!G103),H12)</f>
        <v>0</v>
      </c>
    </row>
    <row r="13" spans="1:19" outlineLevel="1" x14ac:dyDescent="0.25">
      <c r="A13" s="38" t="s">
        <v>150</v>
      </c>
      <c r="B13" s="291"/>
      <c r="C13" s="291"/>
      <c r="D13" s="360">
        <f>C13+Kassavood!B30-Kassavood!B21</f>
        <v>0</v>
      </c>
      <c r="E13" s="360">
        <f>D13+Kassavood!C30-Kassavood!C21</f>
        <v>0</v>
      </c>
      <c r="F13" s="360">
        <f>E13+Kassavood!D30-Kassavood!D21</f>
        <v>0</v>
      </c>
      <c r="G13" s="360">
        <f>F13+Kassavood!E30-Kassavood!E21</f>
        <v>0</v>
      </c>
      <c r="H13" s="360">
        <f>G13+Kassavood!F30-Kassavood!F21</f>
        <v>0</v>
      </c>
      <c r="I13" s="360">
        <f>H13+Kassavood!G30-Kassavood!G21</f>
        <v>0</v>
      </c>
    </row>
    <row r="14" spans="1:19" x14ac:dyDescent="0.25">
      <c r="A14" s="63" t="s">
        <v>92</v>
      </c>
      <c r="B14" s="289">
        <f>SUM(B15:B19)</f>
        <v>0</v>
      </c>
      <c r="C14" s="289">
        <f t="shared" ref="C14:I14" si="1">SUM(C15:C19)</f>
        <v>0</v>
      </c>
      <c r="D14" s="289">
        <f t="shared" si="1"/>
        <v>0</v>
      </c>
      <c r="E14" s="289">
        <f t="shared" si="1"/>
        <v>0</v>
      </c>
      <c r="F14" s="289">
        <f t="shared" si="1"/>
        <v>0</v>
      </c>
      <c r="G14" s="289">
        <f t="shared" si="1"/>
        <v>0</v>
      </c>
      <c r="H14" s="289">
        <f t="shared" si="1"/>
        <v>0</v>
      </c>
      <c r="I14" s="289">
        <f t="shared" si="1"/>
        <v>0</v>
      </c>
    </row>
    <row r="15" spans="1:19" ht="13" customHeight="1" outlineLevel="1" x14ac:dyDescent="0.25">
      <c r="A15" s="36" t="s">
        <v>142</v>
      </c>
      <c r="B15" s="291"/>
      <c r="C15" s="291"/>
      <c r="D15" s="360">
        <f>Tooted!E6</f>
        <v>0</v>
      </c>
      <c r="E15" s="360">
        <f>Tooted!F6</f>
        <v>0</v>
      </c>
      <c r="F15" s="360">
        <f>Tooted!G6</f>
        <v>0</v>
      </c>
      <c r="G15" s="360">
        <f>Tooted!H6</f>
        <v>0</v>
      </c>
      <c r="H15" s="360">
        <f>Tooted!I6</f>
        <v>0</v>
      </c>
      <c r="I15" s="360">
        <f>Tooted!J6</f>
        <v>0</v>
      </c>
    </row>
    <row r="16" spans="1:19" outlineLevel="1" x14ac:dyDescent="0.25">
      <c r="A16" s="36" t="s">
        <v>143</v>
      </c>
      <c r="B16" s="291"/>
      <c r="C16" s="291"/>
      <c r="D16" s="360"/>
      <c r="E16" s="360"/>
      <c r="F16" s="348"/>
      <c r="G16" s="348"/>
      <c r="H16" s="360"/>
      <c r="I16" s="360"/>
    </row>
    <row r="17" spans="1:9" outlineLevel="1" x14ac:dyDescent="0.25">
      <c r="A17" s="36" t="s">
        <v>144</v>
      </c>
      <c r="B17" s="291"/>
      <c r="C17" s="291"/>
      <c r="D17" s="360"/>
      <c r="E17" s="360"/>
      <c r="F17" s="348"/>
      <c r="G17" s="348"/>
      <c r="H17" s="360"/>
      <c r="I17" s="360"/>
    </row>
    <row r="18" spans="1:9" outlineLevel="1" x14ac:dyDescent="0.25">
      <c r="A18" s="37" t="s">
        <v>145</v>
      </c>
      <c r="B18" s="291"/>
      <c r="C18" s="291"/>
      <c r="D18" s="360"/>
      <c r="E18" s="350"/>
      <c r="F18" s="351"/>
      <c r="G18" s="351"/>
      <c r="H18" s="350"/>
      <c r="I18" s="350"/>
    </row>
    <row r="19" spans="1:9" outlineLevel="1" x14ac:dyDescent="0.25">
      <c r="A19" s="36" t="s">
        <v>146</v>
      </c>
      <c r="B19" s="291"/>
      <c r="C19" s="291"/>
      <c r="D19" s="360"/>
      <c r="E19" s="350"/>
      <c r="F19" s="351"/>
      <c r="G19" s="351"/>
      <c r="H19" s="350"/>
      <c r="I19" s="350"/>
    </row>
    <row r="20" spans="1:9" x14ac:dyDescent="0.25">
      <c r="A20" s="63" t="s">
        <v>93</v>
      </c>
      <c r="B20" s="289"/>
      <c r="C20" s="371"/>
      <c r="D20" s="370">
        <f>C20+Kassavood!B34</f>
        <v>0</v>
      </c>
      <c r="E20" s="370">
        <f>D20+Kassavood!C34</f>
        <v>0</v>
      </c>
      <c r="F20" s="370">
        <f>E20+Kassavood!D34</f>
        <v>0</v>
      </c>
      <c r="G20" s="370">
        <f>F20+Kassavood!E34</f>
        <v>0</v>
      </c>
      <c r="H20" s="370">
        <f>G20+Kassavood!F34</f>
        <v>0</v>
      </c>
      <c r="I20" s="370">
        <f>H20+Kassavood!G34</f>
        <v>0</v>
      </c>
    </row>
    <row r="21" spans="1:9" ht="13" x14ac:dyDescent="0.3">
      <c r="A21" s="65" t="s">
        <v>61</v>
      </c>
      <c r="B21" s="372">
        <f>B6+B7+B8+B14+B20</f>
        <v>0</v>
      </c>
      <c r="C21" s="372">
        <f t="shared" ref="C21:I21" si="2">C6+C7+C8+C14+C20</f>
        <v>0</v>
      </c>
      <c r="D21" s="373">
        <f t="shared" si="2"/>
        <v>0</v>
      </c>
      <c r="E21" s="373">
        <f t="shared" si="2"/>
        <v>0</v>
      </c>
      <c r="F21" s="373">
        <f t="shared" si="2"/>
        <v>0</v>
      </c>
      <c r="G21" s="373">
        <f t="shared" si="2"/>
        <v>0</v>
      </c>
      <c r="H21" s="373">
        <f t="shared" si="2"/>
        <v>0</v>
      </c>
      <c r="I21" s="373">
        <f t="shared" si="2"/>
        <v>0</v>
      </c>
    </row>
    <row r="22" spans="1:9" ht="13" x14ac:dyDescent="0.3">
      <c r="A22" s="28" t="s">
        <v>87</v>
      </c>
      <c r="B22" s="374"/>
      <c r="C22" s="375"/>
      <c r="D22" s="375"/>
      <c r="E22" s="375"/>
      <c r="F22" s="375"/>
      <c r="G22" s="375"/>
      <c r="H22" s="375"/>
      <c r="I22" s="375"/>
    </row>
    <row r="23" spans="1:9" ht="13" x14ac:dyDescent="0.25">
      <c r="A23" s="63" t="s">
        <v>88</v>
      </c>
      <c r="B23" s="292"/>
      <c r="C23" s="292"/>
      <c r="D23" s="358"/>
      <c r="E23" s="358"/>
      <c r="F23" s="359"/>
      <c r="G23" s="359"/>
      <c r="H23" s="358"/>
      <c r="I23" s="358"/>
    </row>
    <row r="24" spans="1:9" ht="13" x14ac:dyDescent="0.25">
      <c r="A24" s="63" t="s">
        <v>86</v>
      </c>
      <c r="B24" s="292"/>
      <c r="C24" s="292"/>
      <c r="D24" s="358"/>
      <c r="E24" s="358"/>
      <c r="F24" s="359"/>
      <c r="G24" s="359"/>
      <c r="H24" s="358"/>
      <c r="I24" s="358"/>
    </row>
    <row r="25" spans="1:9" x14ac:dyDescent="0.25">
      <c r="A25" s="66" t="s">
        <v>119</v>
      </c>
      <c r="B25" s="292"/>
      <c r="C25" s="292"/>
      <c r="D25" s="348">
        <f>C25+Kassavood!B39-Kassavood!B22</f>
        <v>0</v>
      </c>
      <c r="E25" s="348">
        <f>D25+Kassavood!C39-Kassavood!C22</f>
        <v>0</v>
      </c>
      <c r="F25" s="348">
        <f>E25+Kassavood!D39-Kassavood!D22</f>
        <v>0</v>
      </c>
      <c r="G25" s="348">
        <f>F25+Kassavood!E39-Kassavood!E22</f>
        <v>0</v>
      </c>
      <c r="H25" s="348">
        <f>G25+Kassavood!F39-Kassavood!F22</f>
        <v>0</v>
      </c>
      <c r="I25" s="348">
        <f>H25+Kassavood!G39-Kassavood!G22</f>
        <v>0</v>
      </c>
    </row>
    <row r="26" spans="1:9" x14ac:dyDescent="0.25">
      <c r="A26" s="63" t="s">
        <v>89</v>
      </c>
      <c r="B26" s="292"/>
      <c r="C26" s="292"/>
      <c r="D26" s="350"/>
      <c r="E26" s="350"/>
      <c r="F26" s="351"/>
      <c r="G26" s="351"/>
      <c r="H26" s="350"/>
      <c r="I26" s="350"/>
    </row>
    <row r="27" spans="1:9" x14ac:dyDescent="0.25">
      <c r="A27" s="66" t="s">
        <v>93</v>
      </c>
      <c r="B27" s="292"/>
      <c r="C27" s="292"/>
      <c r="D27" s="351"/>
      <c r="E27" s="351"/>
      <c r="F27" s="351"/>
      <c r="G27" s="351"/>
      <c r="H27" s="351"/>
      <c r="I27" s="351"/>
    </row>
    <row r="28" spans="1:9" x14ac:dyDescent="0.25">
      <c r="A28" s="66" t="s">
        <v>151</v>
      </c>
      <c r="B28" s="376">
        <f>SUM(B29:B33)</f>
        <v>0</v>
      </c>
      <c r="C28" s="376">
        <f t="shared" ref="C28:I28" si="3">SUM(C29:C33)</f>
        <v>0</v>
      </c>
      <c r="D28" s="376">
        <f t="shared" si="3"/>
        <v>0</v>
      </c>
      <c r="E28" s="376">
        <f t="shared" si="3"/>
        <v>0</v>
      </c>
      <c r="F28" s="376">
        <f t="shared" si="3"/>
        <v>0</v>
      </c>
      <c r="G28" s="376">
        <f t="shared" si="3"/>
        <v>0</v>
      </c>
      <c r="H28" s="376">
        <f t="shared" si="3"/>
        <v>0</v>
      </c>
      <c r="I28" s="376">
        <f t="shared" si="3"/>
        <v>0</v>
      </c>
    </row>
    <row r="29" spans="1:9" outlineLevel="1" x14ac:dyDescent="0.25">
      <c r="A29" s="161" t="s">
        <v>279</v>
      </c>
      <c r="B29" s="357"/>
      <c r="C29" s="357"/>
      <c r="D29" s="377">
        <f>C29+Kassavood!B41</f>
        <v>0</v>
      </c>
      <c r="E29" s="377">
        <f>D29+Kassavood!C41</f>
        <v>0</v>
      </c>
      <c r="F29" s="377">
        <f>E29+Kassavood!D41</f>
        <v>0</v>
      </c>
      <c r="G29" s="377">
        <f>F29+Kassavood!E41</f>
        <v>0</v>
      </c>
      <c r="H29" s="377">
        <f>G29+Kassavood!F41</f>
        <v>0</v>
      </c>
      <c r="I29" s="377">
        <f>H29+Kassavood!G41</f>
        <v>0</v>
      </c>
    </row>
    <row r="30" spans="1:9" outlineLevel="1" x14ac:dyDescent="0.25">
      <c r="A30" s="33" t="s">
        <v>280</v>
      </c>
      <c r="B30" s="357"/>
      <c r="C30" s="357"/>
      <c r="D30" s="378">
        <f>C30+Kassavood!B42</f>
        <v>0</v>
      </c>
      <c r="E30" s="378">
        <f>D30+Kassavood!C42</f>
        <v>0</v>
      </c>
      <c r="F30" s="378">
        <f>E30+Kassavood!D42</f>
        <v>0</v>
      </c>
      <c r="G30" s="378">
        <f>F30+Kassavood!E42</f>
        <v>0</v>
      </c>
      <c r="H30" s="378">
        <f>G30+Kassavood!F42</f>
        <v>0</v>
      </c>
      <c r="I30" s="378">
        <f>H30+Kassavood!G42</f>
        <v>0</v>
      </c>
    </row>
    <row r="31" spans="1:9" outlineLevel="1" x14ac:dyDescent="0.25">
      <c r="A31" s="33" t="s">
        <v>284</v>
      </c>
      <c r="B31" s="357"/>
      <c r="C31" s="357"/>
      <c r="D31" s="378">
        <f>C31+Kassavood!B44+Algandmed!B43</f>
        <v>0</v>
      </c>
      <c r="E31" s="378">
        <f>D31+Kassavood!C44+Algandmed!C43</f>
        <v>0</v>
      </c>
      <c r="F31" s="378">
        <f>E31+Kassavood!D44+Algandmed!D43</f>
        <v>0</v>
      </c>
      <c r="G31" s="378">
        <f>F31+Kassavood!E44+Algandmed!E43</f>
        <v>0</v>
      </c>
      <c r="H31" s="378">
        <f>G31+Kassavood!F44+Algandmed!F43</f>
        <v>0</v>
      </c>
      <c r="I31" s="378">
        <f>H31+Kassavood!G44+Algandmed!G43</f>
        <v>0</v>
      </c>
    </row>
    <row r="32" spans="1:9" outlineLevel="1" x14ac:dyDescent="0.25">
      <c r="A32" s="33" t="s">
        <v>281</v>
      </c>
      <c r="B32" s="357"/>
      <c r="C32" s="357"/>
      <c r="D32" s="378">
        <f>C32+Kassavood!B46+Algandmed!B44</f>
        <v>0</v>
      </c>
      <c r="E32" s="378">
        <f>D32+Kassavood!C46+Algandmed!C44</f>
        <v>0</v>
      </c>
      <c r="F32" s="378">
        <f>E32+Kassavood!D46+Algandmed!D44</f>
        <v>0</v>
      </c>
      <c r="G32" s="378">
        <f>F32+Kassavood!E46+Algandmed!E44</f>
        <v>0</v>
      </c>
      <c r="H32" s="378">
        <f>G32+Kassavood!F46+Algandmed!F44</f>
        <v>0</v>
      </c>
      <c r="I32" s="378">
        <f>H32+Kassavood!G46+Algandmed!G44</f>
        <v>0</v>
      </c>
    </row>
    <row r="33" spans="1:9" outlineLevel="1" x14ac:dyDescent="0.25">
      <c r="A33" s="33" t="s">
        <v>62</v>
      </c>
      <c r="B33" s="357"/>
      <c r="C33" s="357"/>
      <c r="D33" s="378">
        <f>C33-Kassavood!B107-Kassavood!B108-Kassavood!B109</f>
        <v>0</v>
      </c>
      <c r="E33" s="378">
        <f>D33-Kassavood!C107-Kassavood!C108-Kassavood!C109</f>
        <v>0</v>
      </c>
      <c r="F33" s="378">
        <f>E33-Kassavood!D107-Kassavood!D108-Kassavood!D109</f>
        <v>0</v>
      </c>
      <c r="G33" s="378">
        <f>F33-Kassavood!E107-Kassavood!E108-Kassavood!E109</f>
        <v>0</v>
      </c>
      <c r="H33" s="378">
        <f>G33-Kassavood!F107-Kassavood!F108-Kassavood!F109</f>
        <v>0</v>
      </c>
      <c r="I33" s="378">
        <f>H33-Kassavood!G107-Kassavood!G108-Kassavood!G109</f>
        <v>0</v>
      </c>
    </row>
    <row r="34" spans="1:9" x14ac:dyDescent="0.25">
      <c r="A34" s="66" t="s">
        <v>152</v>
      </c>
      <c r="B34" s="376">
        <f>SUM(B35:B36)</f>
        <v>0</v>
      </c>
      <c r="C34" s="376">
        <f t="shared" ref="C34:I34" si="4">SUM(C35:C36)</f>
        <v>0</v>
      </c>
      <c r="D34" s="376">
        <f t="shared" si="4"/>
        <v>0</v>
      </c>
      <c r="E34" s="376">
        <f t="shared" si="4"/>
        <v>0</v>
      </c>
      <c r="F34" s="376">
        <f t="shared" si="4"/>
        <v>0</v>
      </c>
      <c r="G34" s="376">
        <f t="shared" si="4"/>
        <v>0</v>
      </c>
      <c r="H34" s="376">
        <f t="shared" si="4"/>
        <v>0</v>
      </c>
      <c r="I34" s="376">
        <f t="shared" si="4"/>
        <v>0</v>
      </c>
    </row>
    <row r="35" spans="1:9" outlineLevel="1" x14ac:dyDescent="0.25">
      <c r="A35" s="33" t="s">
        <v>152</v>
      </c>
      <c r="B35" s="357"/>
      <c r="C35" s="357"/>
      <c r="D35" s="378">
        <f>C35+Kassavood!B48+Algandmed!B45</f>
        <v>0</v>
      </c>
      <c r="E35" s="378">
        <f>D35+Kassavood!C48+Algandmed!C45</f>
        <v>0</v>
      </c>
      <c r="F35" s="378">
        <f>E35+Kassavood!D48+Algandmed!D45</f>
        <v>0</v>
      </c>
      <c r="G35" s="378">
        <f>F35+Kassavood!E48+Algandmed!E45</f>
        <v>0</v>
      </c>
      <c r="H35" s="378">
        <f>G35+Kassavood!F48+Algandmed!F45</f>
        <v>0</v>
      </c>
      <c r="I35" s="378">
        <f>H35+Kassavood!G48+Algandmed!G45</f>
        <v>0</v>
      </c>
    </row>
    <row r="36" spans="1:9" outlineLevel="1" x14ac:dyDescent="0.25">
      <c r="A36" s="33" t="s">
        <v>153</v>
      </c>
      <c r="B36" s="357"/>
      <c r="C36" s="357"/>
      <c r="D36" s="378">
        <f>C36-Kassavood!B111</f>
        <v>0</v>
      </c>
      <c r="E36" s="378">
        <f>D36-Kassavood!C111</f>
        <v>0</v>
      </c>
      <c r="F36" s="378">
        <f>E36-Kassavood!D111</f>
        <v>0</v>
      </c>
      <c r="G36" s="378">
        <f>F36-Kassavood!E111</f>
        <v>0</v>
      </c>
      <c r="H36" s="378">
        <f>G36-Kassavood!F111</f>
        <v>0</v>
      </c>
      <c r="I36" s="378">
        <f>H36-Kassavood!G111</f>
        <v>0</v>
      </c>
    </row>
    <row r="37" spans="1:9" ht="13" x14ac:dyDescent="0.3">
      <c r="A37" s="67" t="s">
        <v>64</v>
      </c>
      <c r="B37" s="379">
        <f>B23+B24+B25+B26+B27+B28+B34</f>
        <v>0</v>
      </c>
      <c r="C37" s="379">
        <f>C23+C24+C25+C26+C27+C28+C34</f>
        <v>0</v>
      </c>
      <c r="D37" s="379">
        <f t="shared" ref="D37:I37" si="5">D23+D24+D25+D26+D27+D28+D34</f>
        <v>0</v>
      </c>
      <c r="E37" s="379">
        <f t="shared" si="5"/>
        <v>0</v>
      </c>
      <c r="F37" s="379">
        <f t="shared" si="5"/>
        <v>0</v>
      </c>
      <c r="G37" s="379">
        <f t="shared" si="5"/>
        <v>0</v>
      </c>
      <c r="H37" s="379">
        <f t="shared" si="5"/>
        <v>0</v>
      </c>
      <c r="I37" s="379">
        <f t="shared" si="5"/>
        <v>0</v>
      </c>
    </row>
    <row r="38" spans="1:9" x14ac:dyDescent="0.25">
      <c r="A38" s="23"/>
      <c r="B38" s="380"/>
      <c r="C38" s="380"/>
      <c r="D38" s="381"/>
      <c r="E38" s="381"/>
      <c r="F38" s="381"/>
      <c r="G38" s="381"/>
      <c r="H38" s="381"/>
      <c r="I38" s="381"/>
    </row>
    <row r="39" spans="1:9" ht="13" x14ac:dyDescent="0.3">
      <c r="A39" s="65" t="s">
        <v>65</v>
      </c>
      <c r="B39" s="372">
        <f t="shared" ref="B39:I39" si="6">B21+B37</f>
        <v>0</v>
      </c>
      <c r="C39" s="372">
        <f t="shared" si="6"/>
        <v>0</v>
      </c>
      <c r="D39" s="373">
        <f t="shared" si="6"/>
        <v>0</v>
      </c>
      <c r="E39" s="373">
        <f t="shared" si="6"/>
        <v>0</v>
      </c>
      <c r="F39" s="373">
        <f t="shared" si="6"/>
        <v>0</v>
      </c>
      <c r="G39" s="373">
        <f t="shared" si="6"/>
        <v>0</v>
      </c>
      <c r="H39" s="373">
        <f t="shared" si="6"/>
        <v>0</v>
      </c>
      <c r="I39" s="373">
        <f t="shared" si="6"/>
        <v>0</v>
      </c>
    </row>
    <row r="40" spans="1:9" ht="13" x14ac:dyDescent="0.3">
      <c r="A40" s="22"/>
      <c r="B40" s="382"/>
      <c r="C40" s="383"/>
      <c r="D40" s="384"/>
      <c r="E40" s="384"/>
      <c r="F40" s="384"/>
      <c r="G40" s="384"/>
      <c r="H40" s="384"/>
      <c r="I40" s="384"/>
    </row>
    <row r="41" spans="1:9" ht="13" x14ac:dyDescent="0.3">
      <c r="A41" s="22"/>
      <c r="B41" s="382"/>
      <c r="C41" s="383"/>
      <c r="D41" s="384"/>
      <c r="E41" s="384"/>
      <c r="F41" s="384"/>
      <c r="G41" s="384"/>
      <c r="H41" s="384"/>
      <c r="I41" s="384"/>
    </row>
    <row r="42" spans="1:9" x14ac:dyDescent="0.25">
      <c r="A42" s="23"/>
      <c r="B42" s="385"/>
      <c r="C42" s="386"/>
      <c r="D42" s="387"/>
      <c r="E42" s="387"/>
      <c r="F42" s="387"/>
      <c r="G42" s="387"/>
      <c r="H42" s="387"/>
      <c r="I42" s="387"/>
    </row>
    <row r="43" spans="1:9" ht="13" x14ac:dyDescent="0.3">
      <c r="A43" s="35" t="s">
        <v>154</v>
      </c>
      <c r="B43" s="382"/>
      <c r="C43" s="383"/>
      <c r="D43" s="387"/>
      <c r="E43" s="387"/>
      <c r="F43" s="387"/>
      <c r="G43" s="387"/>
      <c r="H43" s="387"/>
      <c r="I43" s="387"/>
    </row>
    <row r="44" spans="1:9" ht="13" x14ac:dyDescent="0.3">
      <c r="A44" s="28" t="s">
        <v>171</v>
      </c>
      <c r="B44" s="388"/>
      <c r="C44" s="389"/>
      <c r="D44" s="387"/>
      <c r="E44" s="387"/>
      <c r="F44" s="387"/>
      <c r="G44" s="387"/>
      <c r="H44" s="387"/>
      <c r="I44" s="387"/>
    </row>
    <row r="45" spans="1:9" ht="13" x14ac:dyDescent="0.3">
      <c r="A45" s="68" t="s">
        <v>155</v>
      </c>
      <c r="B45" s="376">
        <f t="shared" ref="B45:I45" si="7">B46+B49+B54</f>
        <v>0</v>
      </c>
      <c r="C45" s="376">
        <f t="shared" si="7"/>
        <v>0</v>
      </c>
      <c r="D45" s="376">
        <f t="shared" si="7"/>
        <v>0</v>
      </c>
      <c r="E45" s="376">
        <f t="shared" si="7"/>
        <v>0</v>
      </c>
      <c r="F45" s="376">
        <f t="shared" si="7"/>
        <v>0</v>
      </c>
      <c r="G45" s="376">
        <f t="shared" si="7"/>
        <v>0</v>
      </c>
      <c r="H45" s="376">
        <f t="shared" si="7"/>
        <v>0</v>
      </c>
      <c r="I45" s="376">
        <f t="shared" si="7"/>
        <v>0</v>
      </c>
    </row>
    <row r="46" spans="1:9" ht="13" outlineLevel="1" x14ac:dyDescent="0.3">
      <c r="A46" s="40" t="s">
        <v>156</v>
      </c>
      <c r="B46" s="390">
        <f t="shared" ref="B46:I46" si="8">SUM(B47:B48)</f>
        <v>0</v>
      </c>
      <c r="C46" s="390">
        <f t="shared" si="8"/>
        <v>0</v>
      </c>
      <c r="D46" s="390">
        <f t="shared" si="8"/>
        <v>0</v>
      </c>
      <c r="E46" s="390">
        <f t="shared" si="8"/>
        <v>0</v>
      </c>
      <c r="F46" s="390">
        <f t="shared" si="8"/>
        <v>0</v>
      </c>
      <c r="G46" s="390">
        <f t="shared" si="8"/>
        <v>0</v>
      </c>
      <c r="H46" s="390">
        <f t="shared" si="8"/>
        <v>0</v>
      </c>
      <c r="I46" s="390">
        <f t="shared" si="8"/>
        <v>0</v>
      </c>
    </row>
    <row r="47" spans="1:9" outlineLevel="2" x14ac:dyDescent="0.25">
      <c r="A47" s="368" t="s">
        <v>369</v>
      </c>
      <c r="B47" s="294"/>
      <c r="C47" s="295"/>
      <c r="D47" s="391">
        <f>C47+Kassavood!B18-Kassavood!B89</f>
        <v>0</v>
      </c>
      <c r="E47" s="391">
        <f>D47+Kassavood!C18-Kassavood!C89</f>
        <v>0</v>
      </c>
      <c r="F47" s="391">
        <f>E47+Kassavood!D18-Kassavood!D89</f>
        <v>0</v>
      </c>
      <c r="G47" s="391">
        <f>F47+Kassavood!E18-Kassavood!E89</f>
        <v>0</v>
      </c>
      <c r="H47" s="391">
        <f>G47+Kassavood!F18-Kassavood!F89</f>
        <v>0</v>
      </c>
      <c r="I47" s="391">
        <f>H47+Kassavood!G18-Kassavood!G89</f>
        <v>0</v>
      </c>
    </row>
    <row r="48" spans="1:9" outlineLevel="2" x14ac:dyDescent="0.25">
      <c r="A48" s="70" t="s">
        <v>371</v>
      </c>
      <c r="B48" s="294"/>
      <c r="C48" s="294"/>
      <c r="D48" s="392">
        <f>IF((Kassavood!C88+Kassavood!C93)&gt;0,(Kassavood!C88+Kassavood!C93),0)</f>
        <v>0</v>
      </c>
      <c r="E48" s="392">
        <f>IF((Kassavood!D88+Kassavood!D93)&gt;0,(Kassavood!D88+Kassavood!D93),0)</f>
        <v>0</v>
      </c>
      <c r="F48" s="392">
        <f>IF((Kassavood!E88+Kassavood!E93)&gt;0,(Kassavood!E88+Kassavood!E93),0)</f>
        <v>0</v>
      </c>
      <c r="G48" s="392">
        <f>IF((Kassavood!F88+Kassavood!F93)&gt;0,(Kassavood!F88+Kassavood!F93),0)</f>
        <v>0</v>
      </c>
      <c r="H48" s="392">
        <f>IF((Kassavood!G88+Kassavood!G93)&gt;0,(Kassavood!G88+Kassavood!G93),0)</f>
        <v>0</v>
      </c>
      <c r="I48" s="392">
        <f>IF((Kassavood!H88+Kassavood!H93)&gt;0,(Kassavood!H88+Kassavood!H93),0)</f>
        <v>0</v>
      </c>
    </row>
    <row r="49" spans="1:9" ht="13" outlineLevel="1" x14ac:dyDescent="0.3">
      <c r="A49" s="41" t="s">
        <v>157</v>
      </c>
      <c r="B49" s="393">
        <f>SUM(B50:B53)</f>
        <v>0</v>
      </c>
      <c r="C49" s="393">
        <f>SUM(kohu2)</f>
        <v>0</v>
      </c>
      <c r="D49" s="394">
        <f t="shared" ref="D49:I49" si="9">SUM(D50:D53)</f>
        <v>0</v>
      </c>
      <c r="E49" s="394">
        <f t="shared" si="9"/>
        <v>0</v>
      </c>
      <c r="F49" s="394">
        <f t="shared" si="9"/>
        <v>0</v>
      </c>
      <c r="G49" s="394">
        <f t="shared" si="9"/>
        <v>0</v>
      </c>
      <c r="H49" s="394">
        <f t="shared" si="9"/>
        <v>0</v>
      </c>
      <c r="I49" s="394">
        <f t="shared" si="9"/>
        <v>0</v>
      </c>
    </row>
    <row r="50" spans="1:9" outlineLevel="2" x14ac:dyDescent="0.25">
      <c r="A50" s="41" t="s">
        <v>165</v>
      </c>
      <c r="B50" s="296"/>
      <c r="C50" s="292"/>
      <c r="D50" s="353"/>
      <c r="E50" s="353"/>
      <c r="F50" s="354"/>
      <c r="G50" s="354"/>
      <c r="H50" s="353"/>
      <c r="I50" s="353"/>
    </row>
    <row r="51" spans="1:9" outlineLevel="2" x14ac:dyDescent="0.25">
      <c r="A51" s="41" t="s">
        <v>158</v>
      </c>
      <c r="B51" s="296"/>
      <c r="C51" s="292"/>
      <c r="D51" s="350"/>
      <c r="E51" s="350"/>
      <c r="F51" s="351"/>
      <c r="G51" s="351"/>
      <c r="H51" s="350"/>
      <c r="I51" s="350"/>
    </row>
    <row r="52" spans="1:9" outlineLevel="2" x14ac:dyDescent="0.25">
      <c r="A52" s="41" t="s">
        <v>159</v>
      </c>
      <c r="B52" s="296"/>
      <c r="C52" s="292"/>
      <c r="D52" s="350"/>
      <c r="E52" s="350"/>
      <c r="F52" s="351"/>
      <c r="G52" s="351"/>
      <c r="H52" s="350"/>
      <c r="I52" s="350"/>
    </row>
    <row r="53" spans="1:9" outlineLevel="2" x14ac:dyDescent="0.25">
      <c r="A53" s="41" t="s">
        <v>160</v>
      </c>
      <c r="B53" s="297"/>
      <c r="C53" s="298"/>
      <c r="D53" s="355"/>
      <c r="E53" s="355"/>
      <c r="F53" s="356"/>
      <c r="G53" s="356"/>
      <c r="H53" s="355"/>
      <c r="I53" s="355"/>
    </row>
    <row r="54" spans="1:9" ht="13" outlineLevel="1" x14ac:dyDescent="0.3">
      <c r="A54" s="40" t="s">
        <v>161</v>
      </c>
      <c r="B54" s="299"/>
      <c r="C54" s="293"/>
      <c r="D54" s="348"/>
      <c r="E54" s="348"/>
      <c r="F54" s="348"/>
      <c r="G54" s="348"/>
      <c r="H54" s="348"/>
      <c r="I54" s="348"/>
    </row>
    <row r="55" spans="1:9" ht="13" x14ac:dyDescent="0.3">
      <c r="A55" s="69" t="s">
        <v>162</v>
      </c>
      <c r="B55" s="395">
        <f>SUM(B56:B58)</f>
        <v>0</v>
      </c>
      <c r="C55" s="395">
        <f t="shared" ref="C55:I55" si="10">SUM(C56:C58)</f>
        <v>0</v>
      </c>
      <c r="D55" s="395">
        <f t="shared" si="10"/>
        <v>0</v>
      </c>
      <c r="E55" s="395">
        <f t="shared" si="10"/>
        <v>0</v>
      </c>
      <c r="F55" s="395">
        <f t="shared" si="10"/>
        <v>0</v>
      </c>
      <c r="G55" s="395">
        <f t="shared" si="10"/>
        <v>0</v>
      </c>
      <c r="H55" s="395">
        <f t="shared" si="10"/>
        <v>0</v>
      </c>
      <c r="I55" s="395">
        <f t="shared" si="10"/>
        <v>0</v>
      </c>
    </row>
    <row r="56" spans="1:9" outlineLevel="1" x14ac:dyDescent="0.25">
      <c r="A56" s="33" t="s">
        <v>163</v>
      </c>
      <c r="B56" s="294"/>
      <c r="C56" s="352"/>
      <c r="D56" s="396">
        <f>C56+Kassavood!B17+Kassavood!B99-D48</f>
        <v>0</v>
      </c>
      <c r="E56" s="396">
        <f>D56+Kassavood!C17+Kassavood!C99-E48</f>
        <v>0</v>
      </c>
      <c r="F56" s="396">
        <f>E56+Kassavood!D17+Kassavood!D99-F48</f>
        <v>0</v>
      </c>
      <c r="G56" s="396">
        <f>F56+Kassavood!E17+Kassavood!E99-G48</f>
        <v>0</v>
      </c>
      <c r="H56" s="396">
        <f>G56+Kassavood!F17+Kassavood!F99-H48</f>
        <v>0</v>
      </c>
      <c r="I56" s="396">
        <f>H56+Kassavood!G17+Kassavood!G99-I48</f>
        <v>0</v>
      </c>
    </row>
    <row r="57" spans="1:9" outlineLevel="1" x14ac:dyDescent="0.25">
      <c r="A57" s="33" t="s">
        <v>164</v>
      </c>
      <c r="B57" s="299"/>
      <c r="C57" s="292"/>
      <c r="D57" s="343"/>
      <c r="E57" s="343"/>
      <c r="F57" s="344"/>
      <c r="G57" s="344"/>
      <c r="H57" s="343"/>
      <c r="I57" s="343"/>
    </row>
    <row r="58" spans="1:9" ht="13" outlineLevel="1" x14ac:dyDescent="0.3">
      <c r="A58" s="39" t="s">
        <v>161</v>
      </c>
      <c r="B58" s="297"/>
      <c r="C58" s="298"/>
      <c r="D58" s="397">
        <f>C58+Kassavood!B19+Kassavood!B20-Kassavood!B24</f>
        <v>0</v>
      </c>
      <c r="E58" s="397">
        <f>D58+Kassavood!C19+Kassavood!C20-Kassavood!C24</f>
        <v>0</v>
      </c>
      <c r="F58" s="397">
        <f>E58+Kassavood!D19+Kassavood!D20-Kassavood!D24</f>
        <v>0</v>
      </c>
      <c r="G58" s="397">
        <f>F58+Kassavood!E19+Kassavood!E20-Kassavood!E24</f>
        <v>0</v>
      </c>
      <c r="H58" s="397">
        <f>G58+Kassavood!F19+Kassavood!F20-Kassavood!F24</f>
        <v>0</v>
      </c>
      <c r="I58" s="397">
        <f>H58+Kassavood!G19+Kassavood!G20-Kassavood!G24</f>
        <v>0</v>
      </c>
    </row>
    <row r="59" spans="1:9" ht="13" x14ac:dyDescent="0.3">
      <c r="A59" s="69" t="s">
        <v>166</v>
      </c>
      <c r="B59" s="398">
        <f t="shared" ref="B59:I59" si="11">B45+B55</f>
        <v>0</v>
      </c>
      <c r="C59" s="398">
        <f t="shared" si="11"/>
        <v>0</v>
      </c>
      <c r="D59" s="398">
        <f t="shared" si="11"/>
        <v>0</v>
      </c>
      <c r="E59" s="398">
        <f t="shared" si="11"/>
        <v>0</v>
      </c>
      <c r="F59" s="398">
        <f t="shared" si="11"/>
        <v>0</v>
      </c>
      <c r="G59" s="398">
        <f t="shared" si="11"/>
        <v>0</v>
      </c>
      <c r="H59" s="398">
        <f t="shared" si="11"/>
        <v>0</v>
      </c>
      <c r="I59" s="398">
        <f t="shared" si="11"/>
        <v>0</v>
      </c>
    </row>
    <row r="60" spans="1:9" ht="13" x14ac:dyDescent="0.3">
      <c r="A60" s="39" t="s">
        <v>172</v>
      </c>
      <c r="B60" s="380"/>
      <c r="C60" s="380"/>
      <c r="D60" s="381"/>
      <c r="E60" s="381"/>
      <c r="F60" s="381"/>
      <c r="G60" s="381"/>
      <c r="H60" s="381"/>
      <c r="I60" s="381"/>
    </row>
    <row r="61" spans="1:9" outlineLevel="1" x14ac:dyDescent="0.25">
      <c r="A61" s="31" t="s">
        <v>167</v>
      </c>
      <c r="B61" s="345"/>
      <c r="C61" s="292"/>
      <c r="D61" s="378">
        <f>C61+Kassavood!B22</f>
        <v>0</v>
      </c>
      <c r="E61" s="378">
        <f>D61+Kassavood!C22</f>
        <v>0</v>
      </c>
      <c r="F61" s="378">
        <f>E61+Kassavood!D22</f>
        <v>0</v>
      </c>
      <c r="G61" s="378">
        <f>F61+Kassavood!E22</f>
        <v>0</v>
      </c>
      <c r="H61" s="378">
        <f>G61+Kassavood!F22</f>
        <v>0</v>
      </c>
      <c r="I61" s="378">
        <f>H61+Kassavood!G22</f>
        <v>0</v>
      </c>
    </row>
    <row r="62" spans="1:9" outlineLevel="1" x14ac:dyDescent="0.25">
      <c r="A62" s="31" t="s">
        <v>168</v>
      </c>
      <c r="B62" s="346"/>
      <c r="C62" s="347"/>
      <c r="D62" s="348"/>
      <c r="E62" s="349"/>
      <c r="F62" s="348"/>
      <c r="G62" s="348"/>
      <c r="H62" s="348"/>
      <c r="I62" s="348"/>
    </row>
    <row r="63" spans="1:9" outlineLevel="1" x14ac:dyDescent="0.25">
      <c r="A63" s="31" t="s">
        <v>169</v>
      </c>
      <c r="B63" s="346"/>
      <c r="C63" s="347"/>
      <c r="D63" s="348"/>
      <c r="E63" s="349"/>
      <c r="F63" s="348"/>
      <c r="G63" s="348"/>
      <c r="H63" s="348"/>
      <c r="I63" s="348"/>
    </row>
    <row r="64" spans="1:9" outlineLevel="1" x14ac:dyDescent="0.25">
      <c r="A64" s="31" t="s">
        <v>170</v>
      </c>
      <c r="B64" s="346"/>
      <c r="C64" s="347"/>
      <c r="D64" s="348"/>
      <c r="E64" s="349"/>
      <c r="F64" s="348"/>
      <c r="G64" s="348"/>
      <c r="H64" s="348"/>
      <c r="I64" s="348"/>
    </row>
    <row r="65" spans="1:9" outlineLevel="1" x14ac:dyDescent="0.25">
      <c r="A65" s="31" t="s">
        <v>117</v>
      </c>
      <c r="B65" s="346"/>
      <c r="C65" s="347"/>
      <c r="D65" s="350"/>
      <c r="E65" s="350"/>
      <c r="F65" s="351"/>
      <c r="G65" s="351"/>
      <c r="H65" s="350"/>
      <c r="I65" s="350"/>
    </row>
    <row r="66" spans="1:9" outlineLevel="1" x14ac:dyDescent="0.25">
      <c r="A66" s="33" t="s">
        <v>66</v>
      </c>
      <c r="B66" s="346"/>
      <c r="C66" s="347"/>
      <c r="D66" s="378">
        <f>(C67+C66-Kassavood!B92)-(D65-C65)</f>
        <v>0</v>
      </c>
      <c r="E66" s="378">
        <f>(D67+D66-Kassavood!C92)-(E65-D65)</f>
        <v>0</v>
      </c>
      <c r="F66" s="378">
        <f>(E67+E66-Kassavood!D92)-(F65-E65)</f>
        <v>0</v>
      </c>
      <c r="G66" s="378">
        <f>(F67+F66-Kassavood!E92)-(G65-F65)</f>
        <v>0</v>
      </c>
      <c r="H66" s="378">
        <f>(G67+G66-Kassavood!F92)-(H65-G65)</f>
        <v>0</v>
      </c>
      <c r="I66" s="378">
        <f>(H67+H66-Kassavood!G92)-(I65-H65)</f>
        <v>0</v>
      </c>
    </row>
    <row r="67" spans="1:9" outlineLevel="1" x14ac:dyDescent="0.25">
      <c r="A67" s="33" t="s">
        <v>67</v>
      </c>
      <c r="B67" s="299"/>
      <c r="C67" s="292"/>
      <c r="D67" s="378">
        <f>Kasumiaruanne!D64</f>
        <v>0</v>
      </c>
      <c r="E67" s="378">
        <f>Kasumiaruanne!E64</f>
        <v>0</v>
      </c>
      <c r="F67" s="378">
        <f>Kasumiaruanne!F64</f>
        <v>0</v>
      </c>
      <c r="G67" s="378">
        <f>Kasumiaruanne!G64</f>
        <v>0</v>
      </c>
      <c r="H67" s="378">
        <f>Kasumiaruanne!H64</f>
        <v>0</v>
      </c>
      <c r="I67" s="378">
        <f>Kasumiaruanne!I64</f>
        <v>0</v>
      </c>
    </row>
    <row r="68" spans="1:9" ht="13" x14ac:dyDescent="0.3">
      <c r="A68" s="65" t="s">
        <v>68</v>
      </c>
      <c r="B68" s="399">
        <f>SUM(B61:B67)</f>
        <v>0</v>
      </c>
      <c r="C68" s="400">
        <f>SUM(C61:C67)</f>
        <v>0</v>
      </c>
      <c r="D68" s="401">
        <f t="shared" ref="D68:I68" si="12">SUM(D61:D67)</f>
        <v>0</v>
      </c>
      <c r="E68" s="401">
        <f t="shared" si="12"/>
        <v>0</v>
      </c>
      <c r="F68" s="401">
        <f t="shared" si="12"/>
        <v>0</v>
      </c>
      <c r="G68" s="401">
        <f t="shared" si="12"/>
        <v>0</v>
      </c>
      <c r="H68" s="401">
        <f t="shared" si="12"/>
        <v>0</v>
      </c>
      <c r="I68" s="401">
        <f t="shared" si="12"/>
        <v>0</v>
      </c>
    </row>
    <row r="69" spans="1:9" ht="13" x14ac:dyDescent="0.3">
      <c r="A69" s="500"/>
      <c r="B69" s="501"/>
      <c r="C69" s="501"/>
      <c r="D69" s="501"/>
      <c r="E69" s="501"/>
      <c r="F69" s="501"/>
      <c r="G69" s="501"/>
      <c r="H69" s="501"/>
      <c r="I69" s="501"/>
    </row>
    <row r="70" spans="1:9" ht="13" x14ac:dyDescent="0.3">
      <c r="A70" s="65" t="s">
        <v>69</v>
      </c>
      <c r="B70" s="402">
        <f>B59+B68</f>
        <v>0</v>
      </c>
      <c r="C70" s="402">
        <f t="shared" ref="C70:I70" si="13">C59+C68</f>
        <v>0</v>
      </c>
      <c r="D70" s="403">
        <f t="shared" si="13"/>
        <v>0</v>
      </c>
      <c r="E70" s="403">
        <f t="shared" si="13"/>
        <v>0</v>
      </c>
      <c r="F70" s="403">
        <f t="shared" si="13"/>
        <v>0</v>
      </c>
      <c r="G70" s="403">
        <f t="shared" si="13"/>
        <v>0</v>
      </c>
      <c r="H70" s="403">
        <f t="shared" si="13"/>
        <v>0</v>
      </c>
      <c r="I70" s="403">
        <f t="shared" si="13"/>
        <v>0</v>
      </c>
    </row>
  </sheetData>
  <sheetProtection algorithmName="SHA-512" hashValue="zfAfHnhRNwxiJoaOx3x61kHmqS/4bISc7QL7cVzr/xCk10ceRTObZNkkpLgPZxlal4pLTcXTfio5njbq4Ftkgw==" saltValue="dqoUklkL7LxUst3R+Lz0pw==" spinCount="100000" sheet="1" objects="1" scenarios="1"/>
  <mergeCells count="1">
    <mergeCell ref="A69:I69"/>
  </mergeCells>
  <pageMargins left="0.59055118110236238" right="0.74803149606299213" top="0.98425196850393704" bottom="0.98425196850393704" header="0" footer="0"/>
  <pageSetup paperSize="9" scale="9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eht6"/>
  <dimension ref="A1:H19"/>
  <sheetViews>
    <sheetView workbookViewId="0">
      <selection activeCell="F19" sqref="F19"/>
    </sheetView>
  </sheetViews>
  <sheetFormatPr defaultRowHeight="12.5" x14ac:dyDescent="0.25"/>
  <cols>
    <col min="1" max="1" width="24.81640625" customWidth="1"/>
    <col min="2" max="7" width="12.81640625" customWidth="1"/>
  </cols>
  <sheetData>
    <row r="1" spans="1:8" ht="14.5" x14ac:dyDescent="0.35">
      <c r="A1" s="190"/>
      <c r="B1" s="190"/>
      <c r="C1" s="502" t="s">
        <v>56</v>
      </c>
      <c r="D1" s="502"/>
      <c r="E1" s="502"/>
      <c r="F1" s="502"/>
      <c r="G1" s="190"/>
      <c r="H1" s="189"/>
    </row>
    <row r="2" spans="1:8" ht="29" x14ac:dyDescent="0.35">
      <c r="A2" s="190"/>
      <c r="B2" s="191" t="s">
        <v>298</v>
      </c>
      <c r="C2" s="192">
        <v>2025</v>
      </c>
      <c r="D2" s="192">
        <v>2026</v>
      </c>
      <c r="E2" s="192">
        <v>2027</v>
      </c>
      <c r="F2" s="192">
        <v>2028</v>
      </c>
      <c r="G2" s="192">
        <v>2029</v>
      </c>
      <c r="H2" s="189"/>
    </row>
    <row r="3" spans="1:8" ht="14.5" x14ac:dyDescent="0.35">
      <c r="A3" s="193" t="s">
        <v>258</v>
      </c>
      <c r="B3" s="194"/>
      <c r="C3" s="194"/>
      <c r="D3" s="194"/>
      <c r="E3" s="194"/>
      <c r="F3" s="194"/>
      <c r="G3" s="195"/>
      <c r="H3" s="189"/>
    </row>
    <row r="4" spans="1:8" ht="14.5" x14ac:dyDescent="0.35">
      <c r="A4" s="193" t="s">
        <v>259</v>
      </c>
      <c r="B4" s="194"/>
      <c r="C4" s="194"/>
      <c r="D4" s="194"/>
      <c r="E4" s="194"/>
      <c r="F4" s="194"/>
      <c r="G4" s="195"/>
      <c r="H4" s="189"/>
    </row>
    <row r="5" spans="1:8" ht="14.5" x14ac:dyDescent="0.35">
      <c r="A5" s="193" t="s">
        <v>260</v>
      </c>
      <c r="B5" s="194"/>
      <c r="C5" s="194"/>
      <c r="D5" s="194"/>
      <c r="E5" s="194"/>
      <c r="F5" s="194"/>
      <c r="G5" s="195"/>
      <c r="H5" s="189"/>
    </row>
    <row r="6" spans="1:8" ht="14.5" x14ac:dyDescent="0.35">
      <c r="A6" s="193" t="s">
        <v>261</v>
      </c>
      <c r="B6" s="194"/>
      <c r="C6" s="194"/>
      <c r="D6" s="194"/>
      <c r="E6" s="194"/>
      <c r="F6" s="194"/>
      <c r="G6" s="195"/>
      <c r="H6" s="189"/>
    </row>
    <row r="7" spans="1:8" ht="14.5" x14ac:dyDescent="0.35">
      <c r="A7" s="193" t="s">
        <v>262</v>
      </c>
      <c r="B7" s="194"/>
      <c r="C7" s="194"/>
      <c r="D7" s="194"/>
      <c r="E7" s="194"/>
      <c r="F7" s="194"/>
      <c r="G7" s="195"/>
      <c r="H7" s="189"/>
    </row>
    <row r="8" spans="1:8" ht="14.5" x14ac:dyDescent="0.35">
      <c r="A8" s="193" t="s">
        <v>263</v>
      </c>
      <c r="B8" s="194"/>
      <c r="C8" s="194"/>
      <c r="D8" s="194"/>
      <c r="E8" s="194"/>
      <c r="F8" s="194"/>
      <c r="G8" s="195"/>
      <c r="H8" s="189"/>
    </row>
    <row r="9" spans="1:8" ht="14.5" x14ac:dyDescent="0.35">
      <c r="A9" s="193" t="s">
        <v>264</v>
      </c>
      <c r="B9" s="194"/>
      <c r="C9" s="194"/>
      <c r="D9" s="194"/>
      <c r="E9" s="194"/>
      <c r="F9" s="194"/>
      <c r="G9" s="195"/>
      <c r="H9" s="189"/>
    </row>
    <row r="10" spans="1:8" ht="14.5" x14ac:dyDescent="0.35">
      <c r="A10" s="193" t="s">
        <v>265</v>
      </c>
      <c r="B10" s="194"/>
      <c r="C10" s="194"/>
      <c r="D10" s="194"/>
      <c r="E10" s="194"/>
      <c r="F10" s="194"/>
      <c r="G10" s="195"/>
      <c r="H10" s="189"/>
    </row>
    <row r="11" spans="1:8" ht="14.5" x14ac:dyDescent="0.35">
      <c r="A11" s="193" t="s">
        <v>266</v>
      </c>
      <c r="B11" s="194"/>
      <c r="C11" s="194"/>
      <c r="D11" s="194"/>
      <c r="E11" s="194"/>
      <c r="F11" s="194"/>
      <c r="G11" s="195"/>
      <c r="H11" s="189"/>
    </row>
    <row r="12" spans="1:8" ht="14.5" x14ac:dyDescent="0.35">
      <c r="A12" s="193" t="s">
        <v>267</v>
      </c>
      <c r="B12" s="194"/>
      <c r="C12" s="194"/>
      <c r="D12" s="194"/>
      <c r="E12" s="194"/>
      <c r="F12" s="194"/>
      <c r="G12" s="195"/>
      <c r="H12" s="189"/>
    </row>
    <row r="13" spans="1:8" ht="14.5" x14ac:dyDescent="0.35">
      <c r="A13" s="193" t="s">
        <v>268</v>
      </c>
      <c r="B13" s="194"/>
      <c r="C13" s="194"/>
      <c r="D13" s="194"/>
      <c r="E13" s="194"/>
      <c r="F13" s="194"/>
      <c r="G13" s="195"/>
      <c r="H13" s="189"/>
    </row>
    <row r="14" spans="1:8" ht="14.5" x14ac:dyDescent="0.35">
      <c r="A14" s="193" t="s">
        <v>269</v>
      </c>
      <c r="B14" s="194"/>
      <c r="C14" s="194"/>
      <c r="D14" s="194"/>
      <c r="E14" s="194"/>
      <c r="F14" s="194"/>
      <c r="G14" s="195"/>
      <c r="H14" s="189"/>
    </row>
    <row r="15" spans="1:8" ht="14.5" x14ac:dyDescent="0.35">
      <c r="A15" s="193" t="s">
        <v>270</v>
      </c>
      <c r="B15" s="369">
        <f>SUM(B3:B14)/12</f>
        <v>0</v>
      </c>
      <c r="C15" s="369">
        <f t="shared" ref="C15:G15" si="0">SUM(C3:C14)/12</f>
        <v>0</v>
      </c>
      <c r="D15" s="369">
        <f t="shared" si="0"/>
        <v>0</v>
      </c>
      <c r="E15" s="369">
        <f t="shared" si="0"/>
        <v>0</v>
      </c>
      <c r="F15" s="369">
        <f t="shared" si="0"/>
        <v>0</v>
      </c>
      <c r="G15" s="369">
        <f t="shared" si="0"/>
        <v>0</v>
      </c>
      <c r="H15" s="189"/>
    </row>
    <row r="19" spans="1:1" x14ac:dyDescent="0.25">
      <c r="A19" s="27"/>
    </row>
  </sheetData>
  <sheetProtection algorithmName="SHA-512" hashValue="RCt5IrLezb39B75C4RkaIlV5/o4+XICKi91KgBr1BfT8AHjoffTbX4PV1APjJ23762GQOAh83vWxPK8uA0KdcQ==" saltValue="4hRiuHIIxhs78oVDWEL1gw==" spinCount="100000" sheet="1" objects="1" scenarios="1"/>
  <mergeCells count="1">
    <mergeCell ref="C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3"/>
  <sheetViews>
    <sheetView zoomScale="85" zoomScaleNormal="85" workbookViewId="0">
      <selection activeCell="A22" sqref="A22"/>
    </sheetView>
  </sheetViews>
  <sheetFormatPr defaultRowHeight="12.5" x14ac:dyDescent="0.25"/>
  <cols>
    <col min="1" max="1" width="30.453125" customWidth="1"/>
    <col min="2" max="2" width="17.54296875" customWidth="1"/>
    <col min="3" max="9" width="16.81640625" customWidth="1"/>
  </cols>
  <sheetData>
    <row r="1" spans="1:9" ht="36.75" customHeight="1" x14ac:dyDescent="0.25">
      <c r="A1" s="503" t="s">
        <v>70</v>
      </c>
      <c r="B1" s="504"/>
      <c r="C1" s="504"/>
      <c r="D1" s="504"/>
      <c r="E1" s="504"/>
      <c r="F1" s="504"/>
      <c r="G1" s="504"/>
      <c r="H1" s="171"/>
      <c r="I1" s="171"/>
    </row>
    <row r="2" spans="1:9" s="184" customFormat="1" ht="30" customHeight="1" x14ac:dyDescent="0.25">
      <c r="A2" s="173" t="s">
        <v>71</v>
      </c>
      <c r="B2" s="174" t="s">
        <v>130</v>
      </c>
      <c r="C2" s="175" t="s">
        <v>297</v>
      </c>
      <c r="D2" s="175" t="s">
        <v>72</v>
      </c>
      <c r="E2" s="175" t="s">
        <v>73</v>
      </c>
      <c r="F2" s="175" t="s">
        <v>207</v>
      </c>
      <c r="G2" s="175" t="s">
        <v>208</v>
      </c>
      <c r="H2" s="175" t="s">
        <v>209</v>
      </c>
      <c r="I2" s="175" t="s">
        <v>286</v>
      </c>
    </row>
    <row r="3" spans="1:9" ht="15" customHeight="1" x14ac:dyDescent="0.25">
      <c r="A3" s="173" t="s">
        <v>51</v>
      </c>
      <c r="B3" s="185">
        <f>Kasumiaruanne!B5</f>
        <v>0</v>
      </c>
      <c r="C3" s="185">
        <f>Kasumiaruanne!C5</f>
        <v>0</v>
      </c>
      <c r="D3" s="185">
        <f>Kasumiaruanne!D5</f>
        <v>0</v>
      </c>
      <c r="E3" s="185">
        <f>Kasumiaruanne!E5</f>
        <v>0</v>
      </c>
      <c r="F3" s="185">
        <f>Kasumiaruanne!F5</f>
        <v>0</v>
      </c>
      <c r="G3" s="185">
        <f>Kasumiaruanne!G5</f>
        <v>0</v>
      </c>
      <c r="H3" s="185">
        <f>Kasumiaruanne!H5</f>
        <v>0</v>
      </c>
      <c r="I3" s="185">
        <f>Kasumiaruanne!I5</f>
        <v>0</v>
      </c>
    </row>
    <row r="4" spans="1:9" ht="15" customHeight="1" x14ac:dyDescent="0.25">
      <c r="A4" s="173" t="s">
        <v>74</v>
      </c>
      <c r="B4" s="185">
        <f>Kasumiaruanne!B16</f>
        <v>0</v>
      </c>
      <c r="C4" s="185">
        <f>Kasumiaruanne!C16</f>
        <v>0</v>
      </c>
      <c r="D4" s="185">
        <f>Kasumiaruanne!D16</f>
        <v>0</v>
      </c>
      <c r="E4" s="185">
        <f>Kasumiaruanne!E16</f>
        <v>0</v>
      </c>
      <c r="F4" s="185">
        <f>Kasumiaruanne!F16</f>
        <v>0</v>
      </c>
      <c r="G4" s="185">
        <f>Kasumiaruanne!G16</f>
        <v>0</v>
      </c>
      <c r="H4" s="185">
        <f>Kasumiaruanne!H16</f>
        <v>0</v>
      </c>
      <c r="I4" s="185">
        <f>Kasumiaruanne!I16</f>
        <v>0</v>
      </c>
    </row>
    <row r="5" spans="1:9" ht="15" customHeight="1" x14ac:dyDescent="0.25">
      <c r="A5" s="173" t="s">
        <v>75</v>
      </c>
      <c r="B5" s="185">
        <f>Kasumiaruanne!B49</f>
        <v>0</v>
      </c>
      <c r="C5" s="185">
        <f>Kasumiaruanne!C49</f>
        <v>0</v>
      </c>
      <c r="D5" s="185">
        <f>Kasumiaruanne!D49</f>
        <v>0</v>
      </c>
      <c r="E5" s="185">
        <f>Kasumiaruanne!E49</f>
        <v>0</v>
      </c>
      <c r="F5" s="185">
        <f>Kasumiaruanne!F49</f>
        <v>0</v>
      </c>
      <c r="G5" s="185">
        <f>Kasumiaruanne!G49</f>
        <v>0</v>
      </c>
      <c r="H5" s="185">
        <f>Kasumiaruanne!H49</f>
        <v>0</v>
      </c>
      <c r="I5" s="185">
        <f>Kasumiaruanne!I49</f>
        <v>0</v>
      </c>
    </row>
    <row r="6" spans="1:9" ht="15" customHeight="1" x14ac:dyDescent="0.25">
      <c r="A6" s="173" t="s">
        <v>76</v>
      </c>
      <c r="B6" s="185">
        <f>Kasumiaruanne!B56</f>
        <v>0</v>
      </c>
      <c r="C6" s="186">
        <f>Kasumiaruanne!C56</f>
        <v>0</v>
      </c>
      <c r="D6" s="186">
        <f>Kasumiaruanne!D56</f>
        <v>0</v>
      </c>
      <c r="E6" s="186">
        <f>Kasumiaruanne!E56</f>
        <v>0</v>
      </c>
      <c r="F6" s="186">
        <f>Kasumiaruanne!F56</f>
        <v>0</v>
      </c>
      <c r="G6" s="186">
        <f>Kasumiaruanne!G56</f>
        <v>0</v>
      </c>
      <c r="H6" s="186">
        <f>Kasumiaruanne!H56</f>
        <v>0</v>
      </c>
      <c r="I6" s="186">
        <f>Kasumiaruanne!I56</f>
        <v>0</v>
      </c>
    </row>
    <row r="7" spans="1:9" ht="15" customHeight="1" x14ac:dyDescent="0.25">
      <c r="A7" s="173" t="s">
        <v>77</v>
      </c>
      <c r="B7" s="185">
        <f>Kasumiaruanne!B64</f>
        <v>0</v>
      </c>
      <c r="C7" s="185">
        <f>Kasumiaruanne!C64</f>
        <v>0</v>
      </c>
      <c r="D7" s="185">
        <f>Kasumiaruanne!D64</f>
        <v>0</v>
      </c>
      <c r="E7" s="185">
        <f>Kasumiaruanne!E64</f>
        <v>0</v>
      </c>
      <c r="F7" s="185">
        <f>Kasumiaruanne!F64</f>
        <v>0</v>
      </c>
      <c r="G7" s="185">
        <f>Kasumiaruanne!G64</f>
        <v>0</v>
      </c>
      <c r="H7" s="185">
        <f>Kasumiaruanne!H64</f>
        <v>0</v>
      </c>
      <c r="I7" s="185">
        <f>Kasumiaruanne!I64</f>
        <v>0</v>
      </c>
    </row>
    <row r="8" spans="1:9" ht="15" customHeight="1" x14ac:dyDescent="0.25">
      <c r="A8" s="173" t="s">
        <v>78</v>
      </c>
      <c r="B8" s="185">
        <f>Bilanss!B39</f>
        <v>0</v>
      </c>
      <c r="C8" s="185">
        <f>Bilanss!C39</f>
        <v>0</v>
      </c>
      <c r="D8" s="185">
        <f>Bilanss!D39</f>
        <v>0</v>
      </c>
      <c r="E8" s="185">
        <f>Bilanss!E39</f>
        <v>0</v>
      </c>
      <c r="F8" s="185">
        <f>Bilanss!F39</f>
        <v>0</v>
      </c>
      <c r="G8" s="185">
        <f>Bilanss!G39</f>
        <v>0</v>
      </c>
      <c r="H8" s="185">
        <f>Bilanss!H39</f>
        <v>0</v>
      </c>
      <c r="I8" s="185">
        <f>Bilanss!I39</f>
        <v>0</v>
      </c>
    </row>
    <row r="9" spans="1:9" ht="15" hidden="1" customHeight="1" x14ac:dyDescent="0.25">
      <c r="A9" s="173" t="s">
        <v>79</v>
      </c>
      <c r="B9" s="187"/>
      <c r="C9" s="187"/>
      <c r="D9" s="188" t="s">
        <v>80</v>
      </c>
      <c r="E9" s="188" t="s">
        <v>80</v>
      </c>
      <c r="F9" s="188" t="s">
        <v>80</v>
      </c>
      <c r="G9" s="188" t="s">
        <v>80</v>
      </c>
      <c r="H9" s="188" t="s">
        <v>80</v>
      </c>
      <c r="I9" s="188" t="s">
        <v>80</v>
      </c>
    </row>
    <row r="10" spans="1:9" ht="15" customHeight="1" x14ac:dyDescent="0.25">
      <c r="A10" s="173" t="s">
        <v>81</v>
      </c>
      <c r="B10" s="185">
        <f>Kasumiaruanne!B44</f>
        <v>0</v>
      </c>
      <c r="C10" s="185">
        <f>Kasumiaruanne!C44</f>
        <v>0</v>
      </c>
      <c r="D10" s="185">
        <f>Kasumiaruanne!D44</f>
        <v>0</v>
      </c>
      <c r="E10" s="185">
        <f>Kasumiaruanne!E44</f>
        <v>0</v>
      </c>
      <c r="F10" s="185">
        <f>Kasumiaruanne!F44</f>
        <v>0</v>
      </c>
      <c r="G10" s="185">
        <f>Kasumiaruanne!G44</f>
        <v>0</v>
      </c>
      <c r="H10" s="185">
        <f>Kasumiaruanne!H44</f>
        <v>0</v>
      </c>
      <c r="I10" s="185">
        <f>Kasumiaruanne!I44</f>
        <v>0</v>
      </c>
    </row>
    <row r="11" spans="1:9" ht="15" customHeight="1" x14ac:dyDescent="0.25">
      <c r="A11" s="173" t="s">
        <v>82</v>
      </c>
      <c r="B11" s="185">
        <f>Kasumiaruanne!B65</f>
        <v>0</v>
      </c>
      <c r="C11" s="185">
        <f>Kasumiaruanne!C65</f>
        <v>0</v>
      </c>
      <c r="D11" s="185">
        <f>Kasumiaruanne!D65</f>
        <v>0</v>
      </c>
      <c r="E11" s="185">
        <f>Kasumiaruanne!E65</f>
        <v>0</v>
      </c>
      <c r="F11" s="185">
        <f>Kasumiaruanne!F65</f>
        <v>0</v>
      </c>
      <c r="G11" s="185">
        <f>Kasumiaruanne!G65</f>
        <v>0</v>
      </c>
      <c r="H11" s="185">
        <f>Kasumiaruanne!H65</f>
        <v>0</v>
      </c>
      <c r="I11" s="185">
        <f>Kasumiaruanne!I65</f>
        <v>0</v>
      </c>
    </row>
    <row r="12" spans="1:9" ht="15" customHeight="1" x14ac:dyDescent="0.25">
      <c r="A12" s="173" t="s">
        <v>83</v>
      </c>
      <c r="B12" s="185" t="e">
        <f>B10/B11</f>
        <v>#DIV/0!</v>
      </c>
      <c r="C12" s="185" t="e">
        <f>C10/C11</f>
        <v>#DIV/0!</v>
      </c>
      <c r="D12" s="185" t="e">
        <f t="shared" ref="D12:I12" si="0">D10/D11</f>
        <v>#DIV/0!</v>
      </c>
      <c r="E12" s="185" t="e">
        <f t="shared" si="0"/>
        <v>#DIV/0!</v>
      </c>
      <c r="F12" s="185" t="e">
        <f t="shared" si="0"/>
        <v>#DIV/0!</v>
      </c>
      <c r="G12" s="185" t="e">
        <f t="shared" si="0"/>
        <v>#DIV/0!</v>
      </c>
      <c r="H12" s="185" t="e">
        <f t="shared" si="0"/>
        <v>#DIV/0!</v>
      </c>
      <c r="I12" s="185" t="e">
        <f t="shared" si="0"/>
        <v>#DIV/0!</v>
      </c>
    </row>
    <row r="13" spans="1:9" ht="15" customHeight="1" x14ac:dyDescent="0.25">
      <c r="A13" s="173" t="s">
        <v>84</v>
      </c>
      <c r="B13" s="185" t="e">
        <f>(B10+B5+B6)/B11</f>
        <v>#DIV/0!</v>
      </c>
      <c r="C13" s="185" t="e">
        <f>(C10+C5+C6)/C11</f>
        <v>#DIV/0!</v>
      </c>
      <c r="D13" s="185" t="e">
        <f t="shared" ref="D13:I13" si="1">(D10+D5+D6)/D11</f>
        <v>#DIV/0!</v>
      </c>
      <c r="E13" s="185" t="e">
        <f t="shared" si="1"/>
        <v>#DIV/0!</v>
      </c>
      <c r="F13" s="185" t="e">
        <f t="shared" si="1"/>
        <v>#DIV/0!</v>
      </c>
      <c r="G13" s="185" t="e">
        <f t="shared" si="1"/>
        <v>#DIV/0!</v>
      </c>
      <c r="H13" s="185" t="e">
        <f t="shared" si="1"/>
        <v>#DIV/0!</v>
      </c>
      <c r="I13" s="185" t="e">
        <f t="shared" si="1"/>
        <v>#DIV/0!</v>
      </c>
    </row>
    <row r="14" spans="1:9" s="172" customFormat="1" x14ac:dyDescent="0.25">
      <c r="A14" s="170"/>
      <c r="B14" s="169"/>
      <c r="C14" s="169"/>
      <c r="D14" s="169"/>
      <c r="E14" s="169"/>
      <c r="F14" s="169"/>
      <c r="G14" s="169"/>
      <c r="H14" s="169"/>
      <c r="I14" s="169"/>
    </row>
    <row r="15" spans="1:9" ht="30" customHeight="1" x14ac:dyDescent="0.25">
      <c r="A15" s="181" t="s">
        <v>147</v>
      </c>
      <c r="B15" s="174" t="s">
        <v>130</v>
      </c>
      <c r="C15" s="175" t="s">
        <v>297</v>
      </c>
      <c r="D15" s="175" t="s">
        <v>72</v>
      </c>
      <c r="E15" s="175" t="s">
        <v>73</v>
      </c>
      <c r="F15" s="175" t="s">
        <v>207</v>
      </c>
      <c r="G15" s="175" t="s">
        <v>208</v>
      </c>
      <c r="H15" s="175" t="s">
        <v>209</v>
      </c>
      <c r="I15" s="175" t="s">
        <v>286</v>
      </c>
    </row>
    <row r="16" spans="1:9" ht="15" customHeight="1" x14ac:dyDescent="0.25">
      <c r="A16" s="176" t="s">
        <v>275</v>
      </c>
      <c r="B16" s="220" t="e">
        <f>Kasumiaruanne!B64/Kasumiaruanne!B5</f>
        <v>#DIV/0!</v>
      </c>
      <c r="C16" s="220" t="e">
        <f>Kasumiaruanne!C64/Kasumiaruanne!C5</f>
        <v>#DIV/0!</v>
      </c>
      <c r="D16" s="220" t="e">
        <f>Kasumiaruanne!D64/Kasumiaruanne!D5</f>
        <v>#DIV/0!</v>
      </c>
      <c r="E16" s="220" t="e">
        <f>Kasumiaruanne!E64/Kasumiaruanne!E5</f>
        <v>#DIV/0!</v>
      </c>
      <c r="F16" s="220" t="e">
        <f>Kasumiaruanne!F64/Kasumiaruanne!F5</f>
        <v>#DIV/0!</v>
      </c>
      <c r="G16" s="220" t="e">
        <f>Kasumiaruanne!G64/Kasumiaruanne!G5</f>
        <v>#DIV/0!</v>
      </c>
      <c r="H16" s="220" t="e">
        <f>Kasumiaruanne!H64/Kasumiaruanne!H5</f>
        <v>#DIV/0!</v>
      </c>
      <c r="I16" s="220" t="e">
        <f>Kasumiaruanne!I64/Kasumiaruanne!I5</f>
        <v>#DIV/0!</v>
      </c>
    </row>
    <row r="17" spans="1:18" ht="15" customHeight="1" x14ac:dyDescent="0.25">
      <c r="A17" s="176" t="s">
        <v>85</v>
      </c>
      <c r="B17" s="221" t="e">
        <f>Bilanss!B59/Bilanss!B39</f>
        <v>#DIV/0!</v>
      </c>
      <c r="C17" s="221" t="e">
        <f>Bilanss!C59/Bilanss!C39</f>
        <v>#DIV/0!</v>
      </c>
      <c r="D17" s="221" t="e">
        <f>Bilanss!D59/Bilanss!D39</f>
        <v>#DIV/0!</v>
      </c>
      <c r="E17" s="221" t="e">
        <f>Bilanss!E59/Bilanss!E39</f>
        <v>#DIV/0!</v>
      </c>
      <c r="F17" s="221" t="e">
        <f>Bilanss!F59/Bilanss!F39</f>
        <v>#DIV/0!</v>
      </c>
      <c r="G17" s="221" t="e">
        <f>Bilanss!G59/Bilanss!G39</f>
        <v>#DIV/0!</v>
      </c>
      <c r="H17" s="221" t="e">
        <f>Bilanss!H59/Bilanss!H39</f>
        <v>#DIV/0!</v>
      </c>
      <c r="I17" s="221" t="e">
        <f>Bilanss!I59/Bilanss!I39</f>
        <v>#DIV/0!</v>
      </c>
    </row>
    <row r="18" spans="1:18" ht="15" hidden="1" customHeight="1" x14ac:dyDescent="0.25">
      <c r="A18" s="222" t="s">
        <v>128</v>
      </c>
      <c r="B18" s="221" t="e">
        <f>((Bilanss!B21-Bilanss!B14-Bilanss!B11-Bilanss!B12)/Bilanss!B45)</f>
        <v>#DIV/0!</v>
      </c>
      <c r="C18" s="221" t="e">
        <f>((Bilanss!C21-Bilanss!C14-Bilanss!C11-Bilanss!C12)/Bilanss!C45)</f>
        <v>#DIV/0!</v>
      </c>
      <c r="D18" s="221" t="e">
        <f>((Bilanss!D21-Bilanss!D14-Bilanss!D11-Bilanss!D12)/Bilanss!D45)</f>
        <v>#DIV/0!</v>
      </c>
      <c r="E18" s="221" t="e">
        <f>((Bilanss!E21-Bilanss!E14-Bilanss!E11-Bilanss!E12)/Bilanss!E45)</f>
        <v>#DIV/0!</v>
      </c>
      <c r="F18" s="221" t="e">
        <f>((Bilanss!F21-Bilanss!F14-Bilanss!F11-Bilanss!F12)/Bilanss!F45)</f>
        <v>#DIV/0!</v>
      </c>
      <c r="G18" s="221" t="e">
        <f>((Bilanss!G21-Bilanss!G14-Bilanss!G11-Bilanss!G12)/Bilanss!G45)</f>
        <v>#DIV/0!</v>
      </c>
      <c r="H18" s="221" t="e">
        <f>((Bilanss!H21-Bilanss!H14-Bilanss!H11-Bilanss!H12)/Bilanss!H45)</f>
        <v>#DIV/0!</v>
      </c>
      <c r="I18" s="221" t="e">
        <f>((Bilanss!I21-Bilanss!I14-Bilanss!I11-Bilanss!I12)/Bilanss!I45)</f>
        <v>#DIV/0!</v>
      </c>
    </row>
    <row r="19" spans="1:18" ht="15" customHeight="1" x14ac:dyDescent="0.25">
      <c r="A19" s="176" t="s">
        <v>274</v>
      </c>
      <c r="B19" s="221" t="e">
        <f>Bilanss!B21/Bilanss!B45</f>
        <v>#DIV/0!</v>
      </c>
      <c r="C19" s="221" t="e">
        <f>Bilanss!C21/Bilanss!C45</f>
        <v>#DIV/0!</v>
      </c>
      <c r="D19" s="221" t="e">
        <f>Bilanss!D21/Bilanss!D45</f>
        <v>#DIV/0!</v>
      </c>
      <c r="E19" s="221" t="e">
        <f>Bilanss!E21/Bilanss!E45</f>
        <v>#DIV/0!</v>
      </c>
      <c r="F19" s="221" t="e">
        <f>Bilanss!F21/Bilanss!F45</f>
        <v>#DIV/0!</v>
      </c>
      <c r="G19" s="221" t="e">
        <f>Bilanss!G21/Bilanss!G45</f>
        <v>#DIV/0!</v>
      </c>
      <c r="H19" s="221" t="e">
        <f>Bilanss!H21/Bilanss!H45</f>
        <v>#DIV/0!</v>
      </c>
      <c r="I19" s="221" t="e">
        <f>Bilanss!I21/Bilanss!I45</f>
        <v>#DIV/0!</v>
      </c>
      <c r="J19" s="172"/>
      <c r="K19" s="172"/>
      <c r="L19" s="172"/>
      <c r="M19" s="172"/>
      <c r="N19" s="172"/>
      <c r="O19" s="172"/>
      <c r="P19" s="172"/>
      <c r="Q19" s="172"/>
      <c r="R19" s="172"/>
    </row>
    <row r="20" spans="1:18" ht="15" customHeight="1" x14ac:dyDescent="0.25">
      <c r="A20" s="176" t="s">
        <v>134</v>
      </c>
      <c r="B20" s="221" t="e">
        <f>Bilanss!B6/Bilanss!B45</f>
        <v>#DIV/0!</v>
      </c>
      <c r="C20" s="221" t="e">
        <f>Bilanss!C6/Bilanss!C45</f>
        <v>#DIV/0!</v>
      </c>
      <c r="D20" s="221" t="e">
        <f>Bilanss!D6/Bilanss!D45</f>
        <v>#DIV/0!</v>
      </c>
      <c r="E20" s="221" t="e">
        <f>Bilanss!E6/Bilanss!E45</f>
        <v>#DIV/0!</v>
      </c>
      <c r="F20" s="221" t="e">
        <f>Bilanss!F6/Bilanss!F45</f>
        <v>#DIV/0!</v>
      </c>
      <c r="G20" s="221" t="e">
        <f>Bilanss!G6/Bilanss!G45</f>
        <v>#DIV/0!</v>
      </c>
      <c r="H20" s="221" t="e">
        <f>Bilanss!H6/Bilanss!H45</f>
        <v>#DIV/0!</v>
      </c>
      <c r="I20" s="221" t="e">
        <f>Bilanss!I6/Bilanss!I45</f>
        <v>#DIV/0!</v>
      </c>
    </row>
    <row r="21" spans="1:18" ht="15" hidden="1" customHeight="1" x14ac:dyDescent="0.25">
      <c r="A21" s="222" t="s">
        <v>131</v>
      </c>
      <c r="B21" s="223" t="e">
        <f>2.44*B23+0.348*B24+0.306*B19</f>
        <v>#DIV/0!</v>
      </c>
      <c r="C21" s="223" t="e">
        <f t="shared" ref="C21:I21" si="2">2.44*C23+0.348*C24+0.306*C19</f>
        <v>#DIV/0!</v>
      </c>
      <c r="D21" s="223" t="e">
        <f t="shared" si="2"/>
        <v>#DIV/0!</v>
      </c>
      <c r="E21" s="223" t="e">
        <f t="shared" si="2"/>
        <v>#DIV/0!</v>
      </c>
      <c r="F21" s="223" t="e">
        <f t="shared" si="2"/>
        <v>#DIV/0!</v>
      </c>
      <c r="G21" s="223" t="e">
        <f t="shared" si="2"/>
        <v>#DIV/0!</v>
      </c>
      <c r="H21" s="223" t="e">
        <f t="shared" si="2"/>
        <v>#DIV/0!</v>
      </c>
      <c r="I21" s="223" t="e">
        <f t="shared" si="2"/>
        <v>#DIV/0!</v>
      </c>
    </row>
    <row r="22" spans="1:18" ht="15" customHeight="1" x14ac:dyDescent="0.25">
      <c r="A22" s="176" t="s">
        <v>135</v>
      </c>
      <c r="B22" s="223" t="e">
        <f>3.3*B25+B24+0.6*B26+0.6*B27+1.4*B28+1.2</f>
        <v>#DIV/0!</v>
      </c>
      <c r="C22" s="223" t="e">
        <f t="shared" ref="C22:I22" si="3">3.3*C25+C24+0.6*C26+0.6*C27+1.4*C28+1.2</f>
        <v>#DIV/0!</v>
      </c>
      <c r="D22" s="223" t="e">
        <f t="shared" si="3"/>
        <v>#DIV/0!</v>
      </c>
      <c r="E22" s="223" t="e">
        <f t="shared" si="3"/>
        <v>#DIV/0!</v>
      </c>
      <c r="F22" s="223" t="e">
        <f t="shared" si="3"/>
        <v>#DIV/0!</v>
      </c>
      <c r="G22" s="223" t="e">
        <f t="shared" si="3"/>
        <v>#DIV/0!</v>
      </c>
      <c r="H22" s="223" t="e">
        <f t="shared" si="3"/>
        <v>#DIV/0!</v>
      </c>
      <c r="I22" s="223" t="e">
        <f t="shared" si="3"/>
        <v>#DIV/0!</v>
      </c>
    </row>
    <row r="23" spans="1:18" ht="15" hidden="1" customHeight="1" x14ac:dyDescent="0.25">
      <c r="A23" s="182" t="s">
        <v>132</v>
      </c>
      <c r="B23" s="178" t="e">
        <f>Kasumiaruanne!B64/Bilanss!B39</f>
        <v>#DIV/0!</v>
      </c>
      <c r="C23" s="178" t="e">
        <f>Kasumiaruanne!C64/Bilanss!C39</f>
        <v>#DIV/0!</v>
      </c>
      <c r="D23" s="178" t="e">
        <f>Kasumiaruanne!D64/Bilanss!D39</f>
        <v>#DIV/0!</v>
      </c>
      <c r="E23" s="178" t="e">
        <f>Kasumiaruanne!E64/Bilanss!E39</f>
        <v>#DIV/0!</v>
      </c>
      <c r="F23" s="178" t="e">
        <f>Kasumiaruanne!F64/Bilanss!F39</f>
        <v>#DIV/0!</v>
      </c>
      <c r="G23" s="178" t="e">
        <f>Kasumiaruanne!G64/Bilanss!G39</f>
        <v>#DIV/0!</v>
      </c>
      <c r="H23" s="178" t="e">
        <f>Kasumiaruanne!H64/Bilanss!H39</f>
        <v>#DIV/0!</v>
      </c>
      <c r="I23" s="178" t="e">
        <f>Kasumiaruanne!I64/Bilanss!I39</f>
        <v>#DIV/0!</v>
      </c>
    </row>
    <row r="24" spans="1:18" ht="15" hidden="1" customHeight="1" x14ac:dyDescent="0.25">
      <c r="A24" s="182" t="s">
        <v>133</v>
      </c>
      <c r="B24" s="178" t="e">
        <f>Kasumiaruanne!B5/Bilanss!B39</f>
        <v>#DIV/0!</v>
      </c>
      <c r="C24" s="178" t="e">
        <f>Kasumiaruanne!C5/Bilanss!C39</f>
        <v>#DIV/0!</v>
      </c>
      <c r="D24" s="179" t="e">
        <f>Kasumiaruanne!D5/Bilanss!D39</f>
        <v>#DIV/0!</v>
      </c>
      <c r="E24" s="179" t="e">
        <f>Kasumiaruanne!E5/Bilanss!E39</f>
        <v>#DIV/0!</v>
      </c>
      <c r="F24" s="179" t="e">
        <f>Kasumiaruanne!F5/Bilanss!F39</f>
        <v>#DIV/0!</v>
      </c>
      <c r="G24" s="179" t="e">
        <f>Kasumiaruanne!G5/Bilanss!G39</f>
        <v>#DIV/0!</v>
      </c>
      <c r="H24" s="179" t="e">
        <f>Kasumiaruanne!H5/Bilanss!H39</f>
        <v>#DIV/0!</v>
      </c>
      <c r="I24" s="179" t="e">
        <f>Kasumiaruanne!I5/Bilanss!I39</f>
        <v>#DIV/0!</v>
      </c>
    </row>
    <row r="25" spans="1:18" ht="15" hidden="1" customHeight="1" x14ac:dyDescent="0.25">
      <c r="A25" s="183" t="s">
        <v>136</v>
      </c>
      <c r="B25" s="180" t="e">
        <f>Kasumiaruanne!B56/Bilanss!B39</f>
        <v>#DIV/0!</v>
      </c>
      <c r="C25" s="180" t="e">
        <f>Kasumiaruanne!C56/Bilanss!C39</f>
        <v>#DIV/0!</v>
      </c>
      <c r="D25" s="180" t="e">
        <f>Kasumiaruanne!D56/Bilanss!D39</f>
        <v>#DIV/0!</v>
      </c>
      <c r="E25" s="180" t="e">
        <f>Kasumiaruanne!E56/Bilanss!E39</f>
        <v>#DIV/0!</v>
      </c>
      <c r="F25" s="180" t="e">
        <f>Kasumiaruanne!F56/Bilanss!F39</f>
        <v>#DIV/0!</v>
      </c>
      <c r="G25" s="180" t="e">
        <f>Kasumiaruanne!G56/Bilanss!G39</f>
        <v>#DIV/0!</v>
      </c>
      <c r="H25" s="180" t="e">
        <f>Kasumiaruanne!H56/Bilanss!H39</f>
        <v>#DIV/0!</v>
      </c>
      <c r="I25" s="180" t="e">
        <f>Kasumiaruanne!I56/Bilanss!I39</f>
        <v>#DIV/0!</v>
      </c>
    </row>
    <row r="26" spans="1:18" ht="15" hidden="1" customHeight="1" x14ac:dyDescent="0.25">
      <c r="A26" s="183" t="s">
        <v>137</v>
      </c>
      <c r="B26" s="180" t="e">
        <f>Bilanss!B68/Bilanss!B59</f>
        <v>#DIV/0!</v>
      </c>
      <c r="C26" s="180" t="e">
        <f>Bilanss!C68/Bilanss!C59</f>
        <v>#DIV/0!</v>
      </c>
      <c r="D26" s="180" t="e">
        <f>Bilanss!D68/Bilanss!D59</f>
        <v>#DIV/0!</v>
      </c>
      <c r="E26" s="180" t="e">
        <f>Bilanss!E68/Bilanss!E59</f>
        <v>#DIV/0!</v>
      </c>
      <c r="F26" s="180" t="e">
        <f>Bilanss!F68/Bilanss!F59</f>
        <v>#DIV/0!</v>
      </c>
      <c r="G26" s="180" t="e">
        <f>Bilanss!G68/Bilanss!G59</f>
        <v>#DIV/0!</v>
      </c>
      <c r="H26" s="180" t="e">
        <f>Bilanss!H68/Bilanss!H59</f>
        <v>#DIV/0!</v>
      </c>
      <c r="I26" s="180" t="e">
        <f>Bilanss!I68/Bilanss!I59</f>
        <v>#DIV/0!</v>
      </c>
    </row>
    <row r="27" spans="1:18" ht="15" hidden="1" customHeight="1" x14ac:dyDescent="0.25">
      <c r="A27" s="183" t="s">
        <v>138</v>
      </c>
      <c r="B27" s="180" t="e">
        <f>Bilanss!B66/Bilanss!B39</f>
        <v>#DIV/0!</v>
      </c>
      <c r="C27" s="180" t="e">
        <f>Bilanss!C66/Bilanss!C39</f>
        <v>#DIV/0!</v>
      </c>
      <c r="D27" s="180" t="e">
        <f>Bilanss!D66/Bilanss!D39</f>
        <v>#DIV/0!</v>
      </c>
      <c r="E27" s="180" t="e">
        <f>Bilanss!E66/Bilanss!E39</f>
        <v>#DIV/0!</v>
      </c>
      <c r="F27" s="180" t="e">
        <f>Bilanss!F66/Bilanss!F39</f>
        <v>#DIV/0!</v>
      </c>
      <c r="G27" s="180" t="e">
        <f>Bilanss!G66/Bilanss!G39</f>
        <v>#DIV/0!</v>
      </c>
      <c r="H27" s="180" t="e">
        <f>Bilanss!H66/Bilanss!H39</f>
        <v>#DIV/0!</v>
      </c>
      <c r="I27" s="180" t="e">
        <f>Bilanss!I66/Bilanss!I39</f>
        <v>#DIV/0!</v>
      </c>
    </row>
    <row r="28" spans="1:18" ht="15" hidden="1" customHeight="1" x14ac:dyDescent="0.25">
      <c r="A28" s="183" t="s">
        <v>139</v>
      </c>
      <c r="B28" s="180" t="e">
        <f>(Bilanss!B21-Bilanss!B45)/Bilanss!B39</f>
        <v>#DIV/0!</v>
      </c>
      <c r="C28" s="180" t="e">
        <f>(Bilanss!C21-Bilanss!C45)/Bilanss!C39</f>
        <v>#DIV/0!</v>
      </c>
      <c r="D28" s="180" t="e">
        <f>(Bilanss!D21-Bilanss!D45)/Bilanss!D39</f>
        <v>#DIV/0!</v>
      </c>
      <c r="E28" s="180" t="e">
        <f>(Bilanss!E21-Bilanss!E45)/Bilanss!E39</f>
        <v>#DIV/0!</v>
      </c>
      <c r="F28" s="180" t="e">
        <f>(Bilanss!F21-Bilanss!F45)/Bilanss!F39</f>
        <v>#DIV/0!</v>
      </c>
      <c r="G28" s="180" t="e">
        <f>(Bilanss!G21-Bilanss!G45)/Bilanss!G39</f>
        <v>#DIV/0!</v>
      </c>
      <c r="H28" s="180" t="e">
        <f>(Bilanss!H21-Bilanss!H45)/Bilanss!H39</f>
        <v>#DIV/0!</v>
      </c>
      <c r="I28" s="180" t="e">
        <f>(Bilanss!I21-Bilanss!I45)/Bilanss!I39</f>
        <v>#DIV/0!</v>
      </c>
    </row>
    <row r="29" spans="1:18" hidden="1" x14ac:dyDescent="0.25">
      <c r="A29" s="71" t="s">
        <v>128</v>
      </c>
      <c r="B29" s="72" t="e">
        <f>IF(B18&lt;0.3,"Nõrk",IF(B18&lt;0.6,"Mitterahuldav",IF(B18&lt;0.9,"Rahuldav","Hea")))</f>
        <v>#DIV/0!</v>
      </c>
      <c r="C29" s="72" t="e">
        <f t="shared" ref="C29:I29" si="4">IF(C18&lt;0.3,"Nõrk",IF(C18&lt;0.6,"Mitterahuldav",IF(C18&lt;0.9,"Rahuldav","Hea")))</f>
        <v>#DIV/0!</v>
      </c>
      <c r="D29" s="72" t="e">
        <f t="shared" si="4"/>
        <v>#DIV/0!</v>
      </c>
      <c r="E29" s="72" t="e">
        <f t="shared" si="4"/>
        <v>#DIV/0!</v>
      </c>
      <c r="F29" s="72" t="e">
        <f t="shared" si="4"/>
        <v>#DIV/0!</v>
      </c>
      <c r="G29" s="72" t="e">
        <f t="shared" si="4"/>
        <v>#DIV/0!</v>
      </c>
      <c r="H29" s="72" t="e">
        <f t="shared" si="4"/>
        <v>#DIV/0!</v>
      </c>
      <c r="I29" s="72" t="e">
        <f t="shared" si="4"/>
        <v>#DIV/0!</v>
      </c>
    </row>
    <row r="30" spans="1:18" hidden="1" x14ac:dyDescent="0.25">
      <c r="A30" s="73" t="s">
        <v>129</v>
      </c>
      <c r="B30" s="74" t="str">
        <f>IF(,"Sobib","Nõrk")</f>
        <v>Nõrk</v>
      </c>
      <c r="C30" s="74"/>
      <c r="D30" s="74"/>
      <c r="E30" s="74"/>
      <c r="F30" s="74"/>
      <c r="G30" s="74"/>
    </row>
    <row r="31" spans="1:18" hidden="1" x14ac:dyDescent="0.25">
      <c r="A31" s="73" t="s">
        <v>134</v>
      </c>
      <c r="B31" s="74" t="e">
        <f t="shared" ref="B31:I31" si="5">IF(B20&lt;0.3,"Nõrk",IF(B20&lt;0.6,"Mitterahuldav",IF(B20&lt;0.9,"Rahuldav","Hea")))</f>
        <v>#DIV/0!</v>
      </c>
      <c r="C31" s="74" t="e">
        <f t="shared" si="5"/>
        <v>#DIV/0!</v>
      </c>
      <c r="D31" s="74" t="e">
        <f t="shared" si="5"/>
        <v>#DIV/0!</v>
      </c>
      <c r="E31" s="74" t="e">
        <f t="shared" si="5"/>
        <v>#DIV/0!</v>
      </c>
      <c r="F31" s="74" t="e">
        <f t="shared" si="5"/>
        <v>#DIV/0!</v>
      </c>
      <c r="G31" s="74" t="e">
        <f t="shared" si="5"/>
        <v>#DIV/0!</v>
      </c>
      <c r="H31" s="74" t="e">
        <f t="shared" si="5"/>
        <v>#DIV/0!</v>
      </c>
      <c r="I31" s="74" t="e">
        <f t="shared" si="5"/>
        <v>#DIV/0!</v>
      </c>
    </row>
    <row r="32" spans="1:18" hidden="1" x14ac:dyDescent="0.25">
      <c r="A32" s="73" t="s">
        <v>85</v>
      </c>
      <c r="B32" s="74" t="e">
        <f>IF(B17&lt;0.7,"Sobib","Nõrk")</f>
        <v>#DIV/0!</v>
      </c>
      <c r="C32" s="74" t="e">
        <f>IF(C17&lt;0.7,"Sobib","Nõrk")</f>
        <v>#DIV/0!</v>
      </c>
      <c r="D32" s="74" t="e">
        <f t="shared" ref="D32:I32" si="6">IF(D17&lt;0.7,"Sobib","Nõrk")</f>
        <v>#DIV/0!</v>
      </c>
      <c r="E32" s="74" t="e">
        <f t="shared" si="6"/>
        <v>#DIV/0!</v>
      </c>
      <c r="F32" s="74" t="e">
        <f t="shared" si="6"/>
        <v>#DIV/0!</v>
      </c>
      <c r="G32" s="74" t="e">
        <f t="shared" si="6"/>
        <v>#DIV/0!</v>
      </c>
      <c r="H32" s="74" t="e">
        <f t="shared" si="6"/>
        <v>#DIV/0!</v>
      </c>
      <c r="I32" s="74" t="e">
        <f t="shared" si="6"/>
        <v>#DIV/0!</v>
      </c>
    </row>
    <row r="33" spans="1:9" hidden="1" x14ac:dyDescent="0.25">
      <c r="A33" s="73" t="s">
        <v>131</v>
      </c>
      <c r="B33" s="74" t="e">
        <f>IF(B21&gt;2.1,"Sobib","Pankrotioht")</f>
        <v>#DIV/0!</v>
      </c>
      <c r="C33" s="74" t="e">
        <f t="shared" ref="C33:I33" si="7">IF(C21&gt;2.1,"Sobib","Pankrotioht")</f>
        <v>#DIV/0!</v>
      </c>
      <c r="D33" s="74" t="e">
        <f t="shared" si="7"/>
        <v>#DIV/0!</v>
      </c>
      <c r="E33" s="74" t="e">
        <f t="shared" si="7"/>
        <v>#DIV/0!</v>
      </c>
      <c r="F33" s="74" t="e">
        <f t="shared" si="7"/>
        <v>#DIV/0!</v>
      </c>
      <c r="G33" s="74" t="e">
        <f t="shared" si="7"/>
        <v>#DIV/0!</v>
      </c>
      <c r="H33" s="74" t="e">
        <f t="shared" si="7"/>
        <v>#DIV/0!</v>
      </c>
      <c r="I33" s="74" t="e">
        <f t="shared" si="7"/>
        <v>#DIV/0!</v>
      </c>
    </row>
    <row r="34" spans="1:9" hidden="1" x14ac:dyDescent="0.25">
      <c r="A34" s="75" t="s">
        <v>135</v>
      </c>
      <c r="B34" s="76" t="e">
        <f>IF(B22&gt;2.7,"Sobib","Nõrk")</f>
        <v>#DIV/0!</v>
      </c>
      <c r="C34" s="76" t="e">
        <f t="shared" ref="C34:I34" si="8">IF(C22&gt;2.7,"Sobib","Nõrk")</f>
        <v>#DIV/0!</v>
      </c>
      <c r="D34" s="76" t="e">
        <f t="shared" si="8"/>
        <v>#DIV/0!</v>
      </c>
      <c r="E34" s="76" t="e">
        <f t="shared" si="8"/>
        <v>#DIV/0!</v>
      </c>
      <c r="F34" s="76" t="e">
        <f t="shared" si="8"/>
        <v>#DIV/0!</v>
      </c>
      <c r="G34" s="76" t="e">
        <f t="shared" si="8"/>
        <v>#DIV/0!</v>
      </c>
      <c r="H34" s="76" t="e">
        <f t="shared" si="8"/>
        <v>#DIV/0!</v>
      </c>
      <c r="I34" s="76" t="e">
        <f t="shared" si="8"/>
        <v>#DIV/0!</v>
      </c>
    </row>
    <row r="35" spans="1:9" x14ac:dyDescent="0.25">
      <c r="C35" s="34"/>
    </row>
    <row r="37" spans="1:9" hidden="1" x14ac:dyDescent="0.25">
      <c r="A37" s="27" t="s">
        <v>128</v>
      </c>
      <c r="B37" s="44" t="e">
        <f>IF(AND(B18&gt;=0.3,B18&lt;=0.59),"nõrk","sobib")</f>
        <v>#DIV/0!</v>
      </c>
      <c r="C37" s="44" t="e">
        <f t="shared" ref="C37:I37" si="9">IF(AND(C18&gt;=0.3,C18&lt;=0.59),"nõrk","sobib")</f>
        <v>#DIV/0!</v>
      </c>
      <c r="D37" s="44" t="e">
        <f t="shared" si="9"/>
        <v>#DIV/0!</v>
      </c>
      <c r="E37" s="44" t="e">
        <f t="shared" si="9"/>
        <v>#DIV/0!</v>
      </c>
      <c r="F37" s="44" t="e">
        <f t="shared" si="9"/>
        <v>#DIV/0!</v>
      </c>
      <c r="G37" s="44" t="e">
        <f t="shared" si="9"/>
        <v>#DIV/0!</v>
      </c>
      <c r="H37" s="44" t="e">
        <f t="shared" si="9"/>
        <v>#DIV/0!</v>
      </c>
      <c r="I37" s="44" t="e">
        <f t="shared" si="9"/>
        <v>#DIV/0!</v>
      </c>
    </row>
    <row r="38" spans="1:9" ht="13" hidden="1" thickBot="1" x14ac:dyDescent="0.3"/>
    <row r="39" spans="1:9" hidden="1" x14ac:dyDescent="0.25">
      <c r="A39" s="47"/>
      <c r="B39" s="24"/>
      <c r="C39" s="24"/>
      <c r="D39" s="25"/>
    </row>
    <row r="40" spans="1:9" hidden="1" x14ac:dyDescent="0.25">
      <c r="A40" s="48" t="s">
        <v>128</v>
      </c>
      <c r="B40" t="s">
        <v>198</v>
      </c>
      <c r="C40" t="s">
        <v>187</v>
      </c>
      <c r="D40" s="49" t="s">
        <v>196</v>
      </c>
    </row>
    <row r="41" spans="1:9" hidden="1" x14ac:dyDescent="0.25">
      <c r="A41" s="48" t="s">
        <v>134</v>
      </c>
      <c r="B41" t="s">
        <v>188</v>
      </c>
      <c r="C41" t="s">
        <v>189</v>
      </c>
      <c r="D41" s="49" t="s">
        <v>197</v>
      </c>
    </row>
    <row r="42" spans="1:9" hidden="1" x14ac:dyDescent="0.25">
      <c r="A42" s="48"/>
      <c r="B42" t="s">
        <v>190</v>
      </c>
      <c r="C42" t="s">
        <v>191</v>
      </c>
      <c r="D42" s="49" t="s">
        <v>195</v>
      </c>
    </row>
    <row r="43" spans="1:9" ht="13" hidden="1" thickBot="1" x14ac:dyDescent="0.3">
      <c r="A43" s="50"/>
      <c r="B43" s="51" t="s">
        <v>192</v>
      </c>
      <c r="C43" s="51" t="s">
        <v>193</v>
      </c>
      <c r="D43" s="52" t="s">
        <v>194</v>
      </c>
    </row>
  </sheetData>
  <sheetProtection algorithmName="SHA-512" hashValue="scAiTmfk6lNG9J0Yod+vOUjc7J/kYDv7bhRwVTp2Ms9jmh8abPLO5qj1hqQntKTvqeoLtyOWYCcpawDgfLKLUw==" saltValue="PNjDwCTV7d1ZwhsjlqjRFQ==" spinCount="100000" sheet="1" objects="1" scenarios="1"/>
  <mergeCells count="1">
    <mergeCell ref="A1:G1"/>
  </mergeCells>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8EC76-DDF0-4301-A67D-A7DC9BFF340A}">
  <sheetPr>
    <tabColor theme="3" tint="0.79998168889431442"/>
  </sheetPr>
  <dimension ref="B1:AB37"/>
  <sheetViews>
    <sheetView showGridLines="0" zoomScale="85" zoomScaleNormal="85" workbookViewId="0">
      <selection activeCell="A22" sqref="A22"/>
    </sheetView>
  </sheetViews>
  <sheetFormatPr defaultColWidth="8.81640625" defaultRowHeight="14.5" x14ac:dyDescent="0.35"/>
  <cols>
    <col min="1" max="1" width="1.81640625" style="229" customWidth="1"/>
    <col min="2" max="2" width="24.54296875" style="229" customWidth="1"/>
    <col min="3" max="3" width="40.54296875" style="229" customWidth="1"/>
    <col min="4" max="5" width="20.54296875" style="229" customWidth="1"/>
    <col min="6" max="6" width="10.54296875" style="229" hidden="1" customWidth="1"/>
    <col min="7" max="7" width="1.1796875" style="230" customWidth="1"/>
    <col min="8" max="8" width="10.54296875" style="230" customWidth="1"/>
    <col min="9" max="9" width="10.453125" style="230" customWidth="1"/>
    <col min="10" max="10" width="10.453125" style="230" hidden="1" customWidth="1"/>
    <col min="11" max="11" width="10.453125" style="230" customWidth="1"/>
    <col min="12" max="25" width="10.54296875" style="230" customWidth="1"/>
    <col min="26" max="26" width="15.453125" style="230" customWidth="1"/>
    <col min="27" max="28" width="10.54296875" style="230" customWidth="1"/>
    <col min="29" max="16384" width="8.81640625" style="229"/>
  </cols>
  <sheetData>
    <row r="1" spans="2:28" ht="14.15" customHeight="1" x14ac:dyDescent="0.35">
      <c r="K1" s="229"/>
      <c r="L1" s="229"/>
      <c r="M1" s="229"/>
      <c r="N1" s="229"/>
      <c r="O1" s="229"/>
      <c r="P1" s="229"/>
      <c r="Q1" s="229"/>
    </row>
    <row r="2" spans="2:28" ht="29.15" customHeight="1" x14ac:dyDescent="0.35">
      <c r="B2" s="231" t="s">
        <v>301</v>
      </c>
      <c r="J2" s="229"/>
      <c r="K2" s="505" t="s">
        <v>302</v>
      </c>
      <c r="L2" s="505"/>
      <c r="M2" s="505"/>
      <c r="N2" s="505"/>
      <c r="O2" s="505"/>
      <c r="P2" s="505"/>
      <c r="Q2" s="505"/>
    </row>
    <row r="4" spans="2:28" ht="43.5" x14ac:dyDescent="0.35">
      <c r="B4" s="232" t="s">
        <v>303</v>
      </c>
      <c r="C4" s="232" t="s">
        <v>304</v>
      </c>
      <c r="D4" s="232" t="s">
        <v>305</v>
      </c>
      <c r="E4" s="232" t="s">
        <v>306</v>
      </c>
      <c r="F4" s="232" t="s">
        <v>307</v>
      </c>
      <c r="G4" s="229"/>
      <c r="H4" s="232" t="s">
        <v>308</v>
      </c>
      <c r="I4" s="233" t="s">
        <v>309</v>
      </c>
      <c r="J4" s="234" t="s">
        <v>310</v>
      </c>
      <c r="K4" s="235" t="s">
        <v>311</v>
      </c>
      <c r="L4" s="232" t="s">
        <v>312</v>
      </c>
      <c r="M4" s="236" t="s">
        <v>313</v>
      </c>
      <c r="N4" s="236" t="s">
        <v>314</v>
      </c>
      <c r="O4" s="235" t="s">
        <v>315</v>
      </c>
      <c r="P4" s="237" t="s">
        <v>316</v>
      </c>
      <c r="Q4" s="232" t="s">
        <v>317</v>
      </c>
      <c r="S4" s="229"/>
      <c r="T4" s="229"/>
      <c r="U4" s="229"/>
      <c r="V4" s="229"/>
      <c r="W4" s="229"/>
      <c r="X4" s="229"/>
      <c r="Y4" s="229"/>
      <c r="Z4" s="232" t="s">
        <v>318</v>
      </c>
      <c r="AA4" s="229"/>
      <c r="AB4" s="229"/>
    </row>
    <row r="5" spans="2:28" x14ac:dyDescent="0.35">
      <c r="B5" s="238" t="s">
        <v>275</v>
      </c>
      <c r="C5" s="239" t="s">
        <v>319</v>
      </c>
      <c r="D5" s="240" t="s">
        <v>320</v>
      </c>
      <c r="E5" s="240" t="s">
        <v>321</v>
      </c>
      <c r="F5" s="241">
        <v>6.96</v>
      </c>
      <c r="G5" s="229"/>
      <c r="H5" s="257" t="e">
        <f>'Majandusnäitajate koondtabel'!B16</f>
        <v>#DIV/0!</v>
      </c>
      <c r="I5" s="257" t="e">
        <f>'Majandusnäitajate koondtabel'!C16</f>
        <v>#DIV/0!</v>
      </c>
      <c r="J5" s="258" t="e">
        <f>IF(OR(H5&lt;5%,I5&lt;5%),"punane","roheline")</f>
        <v>#DIV/0!</v>
      </c>
      <c r="K5" s="259" t="e">
        <f>'Majandusnäitajate koondtabel'!D16</f>
        <v>#DIV/0!</v>
      </c>
      <c r="L5" s="259" t="e">
        <f>'Majandusnäitajate koondtabel'!E16</f>
        <v>#DIV/0!</v>
      </c>
      <c r="M5" s="259" t="e">
        <f>'Majandusnäitajate koondtabel'!F16</f>
        <v>#DIV/0!</v>
      </c>
      <c r="N5" s="259" t="e">
        <f>'Majandusnäitajate koondtabel'!G16</f>
        <v>#DIV/0!</v>
      </c>
      <c r="O5" s="242">
        <f>4-COUNTIF(K5:N5,"&lt;5%")</f>
        <v>4</v>
      </c>
      <c r="P5" s="242" t="e">
        <f>O5-IF(J5="punane",1,0)</f>
        <v>#DIV/0!</v>
      </c>
      <c r="Q5" s="243">
        <v>0.2</v>
      </c>
      <c r="R5" s="230" t="s">
        <v>322</v>
      </c>
      <c r="S5" s="229"/>
      <c r="T5" s="229"/>
      <c r="U5" s="229"/>
      <c r="V5" s="229"/>
      <c r="W5" s="229"/>
      <c r="X5" s="229"/>
      <c r="Y5" s="229"/>
      <c r="Z5" s="244"/>
      <c r="AA5" s="229"/>
      <c r="AB5" s="229"/>
    </row>
    <row r="6" spans="2:28" x14ac:dyDescent="0.35">
      <c r="B6" s="238" t="s">
        <v>323</v>
      </c>
      <c r="C6" s="239" t="s">
        <v>324</v>
      </c>
      <c r="D6" s="240" t="s">
        <v>345</v>
      </c>
      <c r="E6" s="240" t="s">
        <v>344</v>
      </c>
      <c r="F6" s="241">
        <v>1.25</v>
      </c>
      <c r="G6" s="229"/>
      <c r="H6" s="260" t="e">
        <f>'Majandusnäitajate koondtabel'!B19</f>
        <v>#DIV/0!</v>
      </c>
      <c r="I6" s="260" t="e">
        <f>'Majandusnäitajate koondtabel'!C19</f>
        <v>#DIV/0!</v>
      </c>
      <c r="J6" s="258" t="e">
        <f>IF(OR(H6&lt;1.2,I6&lt;1.2),"punane","roheline")</f>
        <v>#DIV/0!</v>
      </c>
      <c r="K6" s="261" t="e">
        <f>'Majandusnäitajate koondtabel'!D19</f>
        <v>#DIV/0!</v>
      </c>
      <c r="L6" s="261" t="e">
        <f>'Majandusnäitajate koondtabel'!E19</f>
        <v>#DIV/0!</v>
      </c>
      <c r="M6" s="261" t="e">
        <f>'Majandusnäitajate koondtabel'!F19</f>
        <v>#DIV/0!</v>
      </c>
      <c r="N6" s="261" t="e">
        <f>'Majandusnäitajate koondtabel'!G19</f>
        <v>#DIV/0!</v>
      </c>
      <c r="O6" s="242">
        <f>4-COUNTIF(K6:N6,"&lt;1,2")</f>
        <v>4</v>
      </c>
      <c r="P6" s="242" t="e">
        <f t="shared" ref="P6:P8" si="0">O6-IF(J6="punane",1,0)</f>
        <v>#DIV/0!</v>
      </c>
      <c r="Q6" s="243">
        <v>0.2</v>
      </c>
      <c r="R6" s="230" t="s">
        <v>322</v>
      </c>
      <c r="S6" s="229"/>
      <c r="T6" s="229"/>
      <c r="U6" s="229"/>
      <c r="V6" s="229"/>
      <c r="W6" s="229"/>
      <c r="X6" s="229"/>
      <c r="Y6" s="229"/>
      <c r="Z6" s="245" t="s">
        <v>325</v>
      </c>
      <c r="AA6" s="229"/>
      <c r="AB6" s="229"/>
    </row>
    <row r="7" spans="2:28" x14ac:dyDescent="0.35">
      <c r="B7" s="238" t="s">
        <v>85</v>
      </c>
      <c r="C7" s="239" t="s">
        <v>326</v>
      </c>
      <c r="D7" s="240" t="s">
        <v>327</v>
      </c>
      <c r="E7" s="240" t="s">
        <v>328</v>
      </c>
      <c r="F7" s="241">
        <v>0.53</v>
      </c>
      <c r="G7" s="229"/>
      <c r="H7" s="260" t="e">
        <f>'Majandusnäitajate koondtabel'!B17</f>
        <v>#DIV/0!</v>
      </c>
      <c r="I7" s="260" t="e">
        <f>'Majandusnäitajate koondtabel'!C17</f>
        <v>#DIV/0!</v>
      </c>
      <c r="J7" s="258" t="e">
        <f>IF(OR(H7&gt;0.7,I7&gt;0.7),"punane","roheline")</f>
        <v>#DIV/0!</v>
      </c>
      <c r="K7" s="261" t="e">
        <f>'Majandusnäitajate koondtabel'!D17</f>
        <v>#DIV/0!</v>
      </c>
      <c r="L7" s="261" t="e">
        <f>'Majandusnäitajate koondtabel'!E17</f>
        <v>#DIV/0!</v>
      </c>
      <c r="M7" s="261" t="e">
        <f>'Majandusnäitajate koondtabel'!F17</f>
        <v>#DIV/0!</v>
      </c>
      <c r="N7" s="261" t="e">
        <f>'Majandusnäitajate koondtabel'!G17</f>
        <v>#DIV/0!</v>
      </c>
      <c r="O7" s="242">
        <f>4-COUNTIF(K7:N7,"&gt;0,7")</f>
        <v>4</v>
      </c>
      <c r="P7" s="242" t="e">
        <f t="shared" si="0"/>
        <v>#DIV/0!</v>
      </c>
      <c r="Q7" s="243">
        <v>0.2</v>
      </c>
      <c r="R7" s="230" t="s">
        <v>322</v>
      </c>
      <c r="S7" s="229"/>
      <c r="T7" s="229"/>
      <c r="U7" s="229"/>
      <c r="V7" s="229"/>
      <c r="W7" s="229"/>
      <c r="X7" s="229"/>
      <c r="Y7" s="229"/>
      <c r="Z7" s="245" t="s">
        <v>329</v>
      </c>
      <c r="AA7" s="229"/>
      <c r="AB7" s="229"/>
    </row>
    <row r="8" spans="2:28" x14ac:dyDescent="0.35">
      <c r="B8" s="238" t="s">
        <v>134</v>
      </c>
      <c r="C8" s="239" t="s">
        <v>330</v>
      </c>
      <c r="D8" s="240" t="s">
        <v>331</v>
      </c>
      <c r="E8" s="240" t="s">
        <v>332</v>
      </c>
      <c r="F8" s="246" t="s">
        <v>333</v>
      </c>
      <c r="H8" s="260" t="e">
        <f>'Majandusnäitajate koondtabel'!B20</f>
        <v>#DIV/0!</v>
      </c>
      <c r="I8" s="260" t="e">
        <f>'Majandusnäitajate koondtabel'!C20</f>
        <v>#DIV/0!</v>
      </c>
      <c r="J8" s="258" t="e">
        <f>IF(OR(H8&lt;0.6,I8&lt;0.6),"punane","roheline")</f>
        <v>#DIV/0!</v>
      </c>
      <c r="K8" s="261" t="e">
        <f>'Majandusnäitajate koondtabel'!D20</f>
        <v>#DIV/0!</v>
      </c>
      <c r="L8" s="261" t="e">
        <f>'Majandusnäitajate koondtabel'!E20</f>
        <v>#DIV/0!</v>
      </c>
      <c r="M8" s="261" t="e">
        <f>'Majandusnäitajate koondtabel'!F20</f>
        <v>#DIV/0!</v>
      </c>
      <c r="N8" s="261" t="e">
        <f>'Majandusnäitajate koondtabel'!G20</f>
        <v>#DIV/0!</v>
      </c>
      <c r="O8" s="242">
        <f>4-COUNTIF(K8:N8,"&lt;0,6")</f>
        <v>4</v>
      </c>
      <c r="P8" s="242" t="e">
        <f t="shared" si="0"/>
        <v>#DIV/0!</v>
      </c>
      <c r="Q8" s="243">
        <v>0.2</v>
      </c>
      <c r="R8" s="230" t="s">
        <v>322</v>
      </c>
      <c r="Z8" s="247"/>
    </row>
    <row r="9" spans="2:28" ht="72.5" x14ac:dyDescent="0.35">
      <c r="B9" s="238" t="s">
        <v>342</v>
      </c>
      <c r="C9" s="248" t="s">
        <v>334</v>
      </c>
      <c r="D9" s="239" t="s">
        <v>335</v>
      </c>
      <c r="E9" s="239" t="s">
        <v>336</v>
      </c>
      <c r="F9" s="246" t="s">
        <v>333</v>
      </c>
      <c r="H9" s="262" t="e">
        <f>'Majandusnäitajate koondtabel'!B22</f>
        <v>#DIV/0!</v>
      </c>
      <c r="I9" s="262" t="e">
        <f>'Majandusnäitajate koondtabel'!C22</f>
        <v>#DIV/0!</v>
      </c>
      <c r="J9" s="258" t="e">
        <f>IF(OR(H9&lt;2.7,I9&lt;2.7),"punane","roheline")</f>
        <v>#DIV/0!</v>
      </c>
      <c r="K9" s="263" t="e">
        <f>'Majandusnäitajate koondtabel'!D22</f>
        <v>#DIV/0!</v>
      </c>
      <c r="L9" s="263" t="e">
        <f>'Majandusnäitajate koondtabel'!E22</f>
        <v>#DIV/0!</v>
      </c>
      <c r="M9" s="263" t="e">
        <f>'Majandusnäitajate koondtabel'!F22</f>
        <v>#DIV/0!</v>
      </c>
      <c r="N9" s="263" t="e">
        <f>'Majandusnäitajate koondtabel'!G22</f>
        <v>#DIV/0!</v>
      </c>
      <c r="O9" s="242"/>
      <c r="P9" s="242"/>
      <c r="Q9" s="243"/>
      <c r="R9" s="249"/>
      <c r="Z9" s="250"/>
    </row>
    <row r="10" spans="2:28" ht="28.75" customHeight="1" x14ac:dyDescent="0.35">
      <c r="B10" s="238" t="s">
        <v>363</v>
      </c>
      <c r="C10" s="239" t="s">
        <v>354</v>
      </c>
      <c r="D10" s="240" t="s">
        <v>352</v>
      </c>
      <c r="E10" s="240" t="s">
        <v>353</v>
      </c>
      <c r="F10" s="246"/>
      <c r="H10" s="260" t="e">
        <f>(Algandmed!$C$26-Algandmed!$F$26)/('Majandusnäitajate koondtabel'!B6+Kasumiaruanne!B49)</f>
        <v>#DIV/0!</v>
      </c>
      <c r="I10" s="260" t="e">
        <f>(Algandmed!$C$26-Algandmed!$F$26)/('Majandusnäitajate koondtabel'!C6+Kasumiaruanne!C49)</f>
        <v>#DIV/0!</v>
      </c>
      <c r="J10" s="258" t="e">
        <f>IF(OR(H10&lt;2.7,I10&lt;2.7),"punane","roheline")</f>
        <v>#DIV/0!</v>
      </c>
      <c r="K10" s="261" t="e">
        <f>(Algandmed!$C$26-Algandmed!$F$26)/('Majandusnäitajate koondtabel'!D6+Kasumiaruanne!D49)</f>
        <v>#DIV/0!</v>
      </c>
      <c r="L10" s="261" t="e">
        <f>(Algandmed!$C$26-Algandmed!$F$26)/('Majandusnäitajate koondtabel'!E6+Kasumiaruanne!E49)</f>
        <v>#DIV/0!</v>
      </c>
      <c r="M10" s="261" t="e">
        <f>(Algandmed!$C$26-Algandmed!$F$26)/('Majandusnäitajate koondtabel'!F6+Kasumiaruanne!F49)</f>
        <v>#DIV/0!</v>
      </c>
      <c r="N10" s="261" t="e">
        <f>(Algandmed!$C$26-Algandmed!$F$26)/('Majandusnäitajate koondtabel'!G6+Kasumiaruanne!G49)</f>
        <v>#DIV/0!</v>
      </c>
      <c r="O10" s="242">
        <f>4-COUNTIF(K10:N10,"&gt;7")-COUNTIF(K10:N10,""&lt;0)</f>
        <v>4</v>
      </c>
      <c r="P10" s="327" t="e">
        <f>IF((O10-IF(OR(H10&gt;7,H10&lt;0),1,0)-IF(OR(I10&gt;7,I10&lt;0),1,0))&lt;0,0,O10-IF(OR(H10&gt;7,H10&lt;0),1,0)-IF(OR(I10&gt;7,I10&lt;0),1,0))</f>
        <v>#DIV/0!</v>
      </c>
      <c r="Q10" s="243">
        <v>0.2</v>
      </c>
      <c r="Z10" s="247"/>
    </row>
    <row r="11" spans="2:28" x14ac:dyDescent="0.35">
      <c r="Z11" s="230" t="s">
        <v>359</v>
      </c>
    </row>
    <row r="12" spans="2:28" s="230" customFormat="1" x14ac:dyDescent="0.35">
      <c r="B12" s="251" t="s">
        <v>346</v>
      </c>
      <c r="C12" s="252"/>
      <c r="D12" s="252"/>
      <c r="E12" s="253"/>
      <c r="F12" s="253"/>
      <c r="G12" s="253"/>
      <c r="H12" s="253"/>
      <c r="I12" s="253"/>
      <c r="J12" s="253"/>
      <c r="K12" s="253"/>
      <c r="L12" s="253"/>
      <c r="M12" s="253"/>
      <c r="N12" s="253"/>
      <c r="O12" s="253"/>
      <c r="P12" s="506" t="e">
        <f>P5*Q5+P6*Q6+P7*Q7+P8*Q8+P10*Q10</f>
        <v>#DIV/0!</v>
      </c>
      <c r="Q12" s="507"/>
      <c r="Z12" s="230">
        <v>0</v>
      </c>
    </row>
    <row r="13" spans="2:28" s="230" customFormat="1" x14ac:dyDescent="0.35">
      <c r="B13" s="251" t="s">
        <v>343</v>
      </c>
      <c r="C13" s="252"/>
      <c r="D13" s="252"/>
      <c r="E13" s="253"/>
      <c r="F13" s="253"/>
      <c r="G13" s="253"/>
      <c r="H13" s="253"/>
      <c r="I13" s="253"/>
      <c r="J13" s="253"/>
      <c r="K13" s="253"/>
      <c r="L13" s="253"/>
      <c r="M13" s="253"/>
      <c r="N13" s="253"/>
      <c r="O13" s="253"/>
      <c r="P13" s="508" t="s">
        <v>325</v>
      </c>
      <c r="Q13" s="509"/>
      <c r="R13" s="230" t="s">
        <v>337</v>
      </c>
      <c r="Z13" s="230">
        <v>1</v>
      </c>
    </row>
    <row r="14" spans="2:28" s="230" customFormat="1" x14ac:dyDescent="0.35">
      <c r="B14" s="251" t="s">
        <v>364</v>
      </c>
      <c r="C14" s="252"/>
      <c r="D14" s="252"/>
      <c r="E14" s="253"/>
      <c r="F14" s="253"/>
      <c r="G14" s="253"/>
      <c r="H14" s="254"/>
      <c r="I14" s="254"/>
      <c r="J14" s="254"/>
      <c r="K14" s="253"/>
      <c r="L14" s="253"/>
      <c r="M14" s="253"/>
      <c r="N14" s="253"/>
      <c r="O14" s="253"/>
      <c r="P14" s="510">
        <v>1.9</v>
      </c>
      <c r="Q14" s="511"/>
      <c r="R14" s="230" t="s">
        <v>337</v>
      </c>
      <c r="Z14" s="230">
        <v>2</v>
      </c>
    </row>
    <row r="15" spans="2:28" s="230" customFormat="1" x14ac:dyDescent="0.35">
      <c r="B15" s="251" t="s">
        <v>347</v>
      </c>
      <c r="C15" s="252"/>
      <c r="D15" s="252"/>
      <c r="E15" s="253"/>
      <c r="F15" s="253"/>
      <c r="G15" s="253"/>
      <c r="H15" s="253"/>
      <c r="I15" s="253"/>
      <c r="J15" s="253"/>
      <c r="K15" s="253"/>
      <c r="L15" s="253"/>
      <c r="M15" s="253"/>
      <c r="N15" s="253"/>
      <c r="O15" s="253"/>
      <c r="P15" s="512" t="e">
        <f>P12-IF(P13="jah", P14,0)</f>
        <v>#DIV/0!</v>
      </c>
      <c r="Q15" s="513"/>
      <c r="Z15" s="230">
        <v>3</v>
      </c>
    </row>
    <row r="16" spans="2:28" s="230" customFormat="1" x14ac:dyDescent="0.35">
      <c r="B16" s="249"/>
      <c r="C16" s="229"/>
      <c r="D16" s="229"/>
      <c r="Z16" s="230">
        <v>4</v>
      </c>
    </row>
    <row r="17" spans="2:19" s="230" customFormat="1" x14ac:dyDescent="0.35">
      <c r="C17" s="229"/>
      <c r="D17" s="229"/>
    </row>
    <row r="18" spans="2:19" s="230" customFormat="1" x14ac:dyDescent="0.35">
      <c r="B18" s="230" t="s">
        <v>348</v>
      </c>
      <c r="C18" s="229"/>
      <c r="D18" s="229"/>
      <c r="S18" s="230" t="s">
        <v>340</v>
      </c>
    </row>
    <row r="19" spans="2:19" s="230" customFormat="1" ht="16.5" customHeight="1" x14ac:dyDescent="0.35">
      <c r="B19" s="255" t="s">
        <v>338</v>
      </c>
      <c r="C19" s="229"/>
      <c r="D19" s="229"/>
    </row>
    <row r="20" spans="2:19" x14ac:dyDescent="0.35">
      <c r="B20" s="255" t="s">
        <v>339</v>
      </c>
      <c r="M20" s="229"/>
      <c r="N20" s="229"/>
    </row>
    <row r="21" spans="2:19" x14ac:dyDescent="0.35">
      <c r="B21" s="255" t="s">
        <v>341</v>
      </c>
      <c r="E21" s="230"/>
      <c r="N21" s="229"/>
      <c r="S21" s="230" t="s">
        <v>340</v>
      </c>
    </row>
    <row r="22" spans="2:19" x14ac:dyDescent="0.35">
      <c r="B22" s="256" t="s">
        <v>349</v>
      </c>
      <c r="E22" s="230"/>
    </row>
    <row r="23" spans="2:19" x14ac:dyDescent="0.35">
      <c r="G23" s="229"/>
      <c r="H23" s="229"/>
      <c r="I23" s="229"/>
      <c r="J23" s="229"/>
      <c r="K23" s="229"/>
      <c r="L23" s="229"/>
      <c r="M23" s="229"/>
      <c r="N23" s="229"/>
      <c r="O23" s="229"/>
      <c r="P23" s="229"/>
    </row>
    <row r="24" spans="2:19" s="230" customFormat="1" x14ac:dyDescent="0.35">
      <c r="B24" s="229"/>
      <c r="C24" s="229"/>
      <c r="D24" s="229"/>
    </row>
    <row r="25" spans="2:19" s="230" customFormat="1" x14ac:dyDescent="0.35">
      <c r="B25" s="229"/>
      <c r="C25" s="229"/>
      <c r="D25" s="229"/>
    </row>
    <row r="26" spans="2:19" s="230" customFormat="1" x14ac:dyDescent="0.35">
      <c r="B26" s="229"/>
      <c r="C26" s="229"/>
      <c r="D26" s="229"/>
    </row>
    <row r="27" spans="2:19" s="230" customFormat="1" x14ac:dyDescent="0.35">
      <c r="B27" s="229"/>
      <c r="C27" s="229"/>
      <c r="D27" s="229"/>
    </row>
    <row r="28" spans="2:19" x14ac:dyDescent="0.35">
      <c r="G28" s="229"/>
      <c r="H28" s="229"/>
      <c r="I28" s="229"/>
      <c r="J28" s="229"/>
      <c r="K28" s="229"/>
      <c r="L28" s="229"/>
      <c r="M28" s="229"/>
      <c r="N28" s="229"/>
      <c r="O28" s="229"/>
      <c r="P28" s="229"/>
    </row>
    <row r="29" spans="2:19" x14ac:dyDescent="0.35">
      <c r="G29" s="229"/>
      <c r="H29" s="229"/>
      <c r="I29" s="229"/>
      <c r="J29" s="229"/>
      <c r="K29" s="229"/>
      <c r="L29" s="229"/>
      <c r="M29" s="229"/>
      <c r="N29" s="229"/>
      <c r="O29" s="229"/>
      <c r="P29" s="229"/>
    </row>
    <row r="30" spans="2:19" x14ac:dyDescent="0.35">
      <c r="G30" s="229"/>
      <c r="H30" s="229"/>
      <c r="I30" s="229"/>
      <c r="J30" s="229"/>
      <c r="K30" s="229"/>
      <c r="L30" s="229"/>
      <c r="M30" s="229"/>
      <c r="N30" s="229"/>
      <c r="O30" s="229"/>
      <c r="P30" s="229"/>
    </row>
    <row r="31" spans="2:19" x14ac:dyDescent="0.35">
      <c r="G31" s="229"/>
      <c r="H31" s="229"/>
      <c r="I31" s="229"/>
      <c r="J31" s="229"/>
      <c r="K31" s="229"/>
      <c r="L31" s="229"/>
      <c r="M31" s="229"/>
      <c r="N31" s="229"/>
      <c r="O31" s="229"/>
      <c r="P31" s="229"/>
    </row>
    <row r="32" spans="2:19" x14ac:dyDescent="0.35">
      <c r="G32" s="229"/>
      <c r="H32" s="229"/>
      <c r="I32" s="229"/>
      <c r="J32" s="229"/>
      <c r="K32" s="229"/>
      <c r="L32" s="229"/>
      <c r="M32" s="229"/>
      <c r="N32" s="229"/>
      <c r="O32" s="229"/>
      <c r="P32" s="229"/>
    </row>
    <row r="33" spans="7:16" x14ac:dyDescent="0.35">
      <c r="G33" s="229"/>
      <c r="H33" s="229"/>
      <c r="I33" s="229"/>
      <c r="J33" s="229"/>
      <c r="K33" s="229"/>
      <c r="L33" s="229"/>
      <c r="M33" s="229"/>
      <c r="N33" s="229"/>
      <c r="O33" s="229"/>
      <c r="P33" s="229"/>
    </row>
    <row r="34" spans="7:16" x14ac:dyDescent="0.35">
      <c r="G34" s="229"/>
      <c r="H34" s="229"/>
      <c r="I34" s="229"/>
      <c r="J34" s="229"/>
      <c r="K34" s="229"/>
      <c r="L34" s="229"/>
      <c r="M34" s="229"/>
      <c r="N34" s="229"/>
      <c r="O34" s="229"/>
      <c r="P34" s="229"/>
    </row>
    <row r="35" spans="7:16" x14ac:dyDescent="0.35">
      <c r="G35" s="229"/>
      <c r="H35" s="229"/>
      <c r="I35" s="229"/>
      <c r="J35" s="229"/>
      <c r="K35" s="229"/>
      <c r="L35" s="229"/>
      <c r="M35" s="229"/>
      <c r="N35" s="229"/>
      <c r="O35" s="229"/>
      <c r="P35" s="229"/>
    </row>
    <row r="36" spans="7:16" x14ac:dyDescent="0.35">
      <c r="G36" s="229"/>
      <c r="H36" s="229"/>
      <c r="I36" s="229"/>
      <c r="J36" s="229"/>
      <c r="K36" s="229"/>
      <c r="L36" s="229"/>
      <c r="M36" s="229"/>
      <c r="N36" s="229"/>
      <c r="O36" s="229"/>
      <c r="P36" s="229"/>
    </row>
    <row r="37" spans="7:16" x14ac:dyDescent="0.35">
      <c r="G37" s="229"/>
      <c r="H37" s="229"/>
      <c r="I37" s="229"/>
      <c r="J37" s="229"/>
      <c r="K37" s="229"/>
      <c r="L37" s="229"/>
      <c r="M37" s="229"/>
      <c r="N37" s="229"/>
      <c r="O37" s="229"/>
      <c r="P37" s="229"/>
    </row>
  </sheetData>
  <sheetProtection algorithmName="SHA-512" hashValue="0vUQ/gEqBzj8jwH1o3v/nj4VAux9LtjFYvnJTn6hSud3IgMle7waS12gWiNRkZVoutGCyi7fw81WE82N6Vtx3w==" saltValue="V5laGYUO9IXMlByGdaNx2g==" spinCount="100000" sheet="1" objects="1" scenarios="1"/>
  <mergeCells count="5">
    <mergeCell ref="K2:Q2"/>
    <mergeCell ref="P12:Q12"/>
    <mergeCell ref="P13:Q13"/>
    <mergeCell ref="P14:Q14"/>
    <mergeCell ref="P15:Q15"/>
  </mergeCells>
  <conditionalFormatting sqref="H5:I5">
    <cfRule type="expression" dxfId="15" priority="10">
      <formula>H$5&lt;5%</formula>
    </cfRule>
  </conditionalFormatting>
  <conditionalFormatting sqref="H6:I6">
    <cfRule type="expression" dxfId="14" priority="12">
      <formula>H6&lt;1.2</formula>
    </cfRule>
  </conditionalFormatting>
  <conditionalFormatting sqref="H7:I7">
    <cfRule type="expression" dxfId="13" priority="14">
      <formula>H7&gt;0.7</formula>
    </cfRule>
  </conditionalFormatting>
  <conditionalFormatting sqref="H8:I8">
    <cfRule type="expression" dxfId="12" priority="16">
      <formula>H8&lt;0.6</formula>
    </cfRule>
  </conditionalFormatting>
  <conditionalFormatting sqref="H9:I9">
    <cfRule type="expression" dxfId="11" priority="18">
      <formula>H9&lt;2.7</formula>
    </cfRule>
  </conditionalFormatting>
  <conditionalFormatting sqref="K5:N5">
    <cfRule type="expression" dxfId="10" priority="9">
      <formula>K$5&lt;5%</formula>
    </cfRule>
  </conditionalFormatting>
  <conditionalFormatting sqref="K6:N6">
    <cfRule type="expression" dxfId="9" priority="11">
      <formula>K6&lt;1.2</formula>
    </cfRule>
  </conditionalFormatting>
  <conditionalFormatting sqref="K7:N7">
    <cfRule type="expression" dxfId="8" priority="13">
      <formula>K7&gt;0.7</formula>
    </cfRule>
  </conditionalFormatting>
  <conditionalFormatting sqref="K8:N8">
    <cfRule type="expression" dxfId="7" priority="15">
      <formula>K8&lt;0.6</formula>
    </cfRule>
  </conditionalFormatting>
  <conditionalFormatting sqref="K9:N9">
    <cfRule type="expression" dxfId="6" priority="17">
      <formula>K9&lt;2.7</formula>
    </cfRule>
  </conditionalFormatting>
  <conditionalFormatting sqref="P14:Q14">
    <cfRule type="expression" dxfId="5" priority="8">
      <formula>$P$13="jah"</formula>
    </cfRule>
  </conditionalFormatting>
  <conditionalFormatting sqref="P15:Q15">
    <cfRule type="cellIs" dxfId="4" priority="5" operator="greaterThan">
      <formula>4</formula>
    </cfRule>
    <cfRule type="cellIs" dxfId="3" priority="6" operator="lessThan">
      <formula>0</formula>
    </cfRule>
  </conditionalFormatting>
  <conditionalFormatting sqref="R14">
    <cfRule type="expression" dxfId="2" priority="7">
      <formula>$P$13="ei"</formula>
    </cfRule>
  </conditionalFormatting>
  <conditionalFormatting sqref="H10:I10">
    <cfRule type="expression" dxfId="1" priority="2">
      <formula>OR(H10&gt;7,H10&lt;0)</formula>
    </cfRule>
  </conditionalFormatting>
  <conditionalFormatting sqref="K10:N10">
    <cfRule type="expression" dxfId="0" priority="1">
      <formula>OR(K10&gt;7,K10&lt;0)</formula>
    </cfRule>
  </conditionalFormatting>
  <dataValidations count="2">
    <dataValidation type="list" allowBlank="1" showInputMessage="1" showErrorMessage="1" sqref="P13:Q13" xr:uid="{0FCF7EF1-FC6D-4C51-B1E8-BCF78510FB35}">
      <formula1>$Z$6:$Z$7</formula1>
    </dataValidation>
    <dataValidation type="list" allowBlank="1" showInputMessage="1" showErrorMessage="1" sqref="P10" xr:uid="{6D62EB81-6724-4DCA-B02C-468E0420722D}">
      <formula1>$Z$12:$Z$16</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Algandmed</vt:lpstr>
      <vt:lpstr>Tooted</vt:lpstr>
      <vt:lpstr>Kassavood</vt:lpstr>
      <vt:lpstr>Kasumiaruanne</vt:lpstr>
      <vt:lpstr>Bilanss</vt:lpstr>
      <vt:lpstr>Töötajad</vt:lpstr>
      <vt:lpstr>Majandusnäitajate koondtabel</vt:lpstr>
      <vt:lpstr>Finantsvõimekus</vt:lpstr>
      <vt:lpstr>kohu1</vt:lpstr>
      <vt:lpstr>kohu2</vt:lpstr>
      <vt:lpstr>Kassavood!Print_Area</vt:lpstr>
      <vt:lpstr>Kasumiaruanne!Print_Area</vt:lpstr>
      <vt:lpstr>Tooted!Print_Area</vt:lpstr>
      <vt:lpstr>Kassavood!Print_Titles</vt:lpstr>
      <vt:lpstr>Tooted!Print_Titles</vt:lpstr>
      <vt:lpstr>raha1</vt:lpstr>
      <vt:lpstr>raha2</vt:lpstr>
    </vt:vector>
  </TitlesOfParts>
  <Company>Ettevõtluse Arenduse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Finantsprognoosi vorm</dc:title>
  <dc:creator>Margit Karu</dc:creator>
  <cp:lastModifiedBy>Janek Maasik</cp:lastModifiedBy>
  <cp:revision>1</cp:revision>
  <dcterms:created xsi:type="dcterms:W3CDTF">2004-12-15T09:01:57Z</dcterms:created>
  <dcterms:modified xsi:type="dcterms:W3CDTF">2024-10-11T07:15:57Z</dcterms:modified>
</cp:coreProperties>
</file>