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0" yWindow="0" windowWidth="19140" windowHeight="7650" activeTab="0"/>
  </bookViews>
  <sheets>
    <sheet name="Algandmed " sheetId="1" r:id="rId1"/>
    <sheet name="Tooted" sheetId="2" r:id="rId2"/>
    <sheet name="Kassavood" sheetId="3" r:id="rId3"/>
    <sheet name="Kasumiaruanne" sheetId="4" r:id="rId4"/>
    <sheet name="Bilanss" sheetId="5" r:id="rId5"/>
    <sheet name="Suhtarvud" sheetId="6" r:id="rId6"/>
  </sheets>
  <definedNames>
    <definedName name="kohu1">'Bilanss'!$B$30:$B$35</definedName>
    <definedName name="kohu2">'Bilanss'!$B$32:$B$35</definedName>
    <definedName name="Prindiala" localSheetId="2">'Kassavood'!$A$3:$Q$90</definedName>
    <definedName name="Prindiala" localSheetId="3">'Kasumiaruanne'!$A$1:$E$72</definedName>
    <definedName name="Prindiala" localSheetId="1">'Tooted'!$A$1:$U$61</definedName>
    <definedName name="Prinditiitlid" localSheetId="2">'Kassavood'!$A:$A,'Kassavood'!$1:$2</definedName>
    <definedName name="Prinditiitlid" localSheetId="1">'Tooted'!$A:$D,'Tooted'!$1:$1</definedName>
    <definedName name="raha1">'Bilanss'!$B$6:$B$11</definedName>
    <definedName name="raha2">'Bilanss'!$B$7:$B$11</definedName>
  </definedNames>
  <calcPr fullCalcOnLoad="1"/>
</workbook>
</file>

<file path=xl/comments1.xml><?xml version="1.0" encoding="utf-8"?>
<comments xmlns="http://schemas.openxmlformats.org/spreadsheetml/2006/main">
  <authors>
    <author>Margit Karu</author>
    <author>Eveli Naaris</author>
  </authors>
  <commentList>
    <comment ref="E4" authorId="0">
      <text>
        <r>
          <rPr>
            <b/>
            <sz val="14"/>
            <color indexed="10"/>
            <rFont val="Tahoma"/>
            <family val="2"/>
          </rPr>
          <t>Täita vajalikud rohelised lahtrid!</t>
        </r>
      </text>
    </comment>
    <comment ref="B10" authorId="1">
      <text>
        <r>
          <rPr>
            <sz val="9"/>
            <rFont val="Tahoma"/>
            <family val="2"/>
          </rPr>
          <t xml:space="preserve">Laenukapitali intressi määr
</t>
        </r>
      </text>
    </comment>
  </commentList>
</comments>
</file>

<file path=xl/comments3.xml><?xml version="1.0" encoding="utf-8"?>
<comments xmlns="http://schemas.openxmlformats.org/spreadsheetml/2006/main">
  <authors>
    <author>MargitK</author>
    <author>Janeli Tikk</author>
  </authors>
  <commentList>
    <comment ref="R80" authorId="0">
      <text>
        <r>
          <rPr>
            <sz val="8"/>
            <rFont val="Tahoma"/>
            <family val="2"/>
          </rPr>
          <t xml:space="preserve">Siia lahtrisse kirjutada 5. tegevusaastal tagasimaksmisele kuuluva pikaajalise laenu lühiajaline osa
</t>
        </r>
      </text>
    </comment>
    <comment ref="N80" authorId="1">
      <text>
        <r>
          <rPr>
            <sz val="9"/>
            <rFont val="Tahoma"/>
            <family val="2"/>
          </rPr>
          <t xml:space="preserve">Lahtri kommentaar: Lahtri sisu (summa) ei saa olla suurem kui bilansi rea B38 ehk „Pikaajaliste laenude, kapitalirendi lühiajaline osa“ näidatud summa!
</t>
        </r>
      </text>
    </comment>
    <comment ref="N81" authorId="1">
      <text>
        <r>
          <rPr>
            <sz val="9"/>
            <rFont val="Tahoma"/>
            <family val="2"/>
          </rPr>
          <t xml:space="preserve">Lahtri sisu ei saa olla suurem ega väiksem  kui bilansi rea B30 ehk „Lühiajalised võlakohustused (laenud, kapitalirent)“ ja kassavoogude rea N22 summa
</t>
        </r>
      </text>
    </comment>
  </commentList>
</comments>
</file>

<file path=xl/comments4.xml><?xml version="1.0" encoding="utf-8"?>
<comments xmlns="http://schemas.openxmlformats.org/spreadsheetml/2006/main">
  <authors>
    <author>Janeli Tikk</author>
  </authors>
  <commentList>
    <comment ref="A1" authorId="0">
      <text>
        <r>
          <rPr>
            <sz val="9"/>
            <rFont val="Tahoma"/>
            <family val="2"/>
          </rPr>
          <t>Prognoos esitatakse nelja majandusaasta kohta arvates kavandatava investeeringuobjekti valmimise aastast</t>
        </r>
      </text>
    </comment>
  </commentList>
</comments>
</file>

<file path=xl/comments5.xml><?xml version="1.0" encoding="utf-8"?>
<comments xmlns="http://schemas.openxmlformats.org/spreadsheetml/2006/main">
  <authors>
    <author>Margit Karu</author>
    <author>Janeli Tikk</author>
  </authors>
  <commentList>
    <comment ref="B2" authorId="0">
      <text>
        <r>
          <rPr>
            <sz val="8"/>
            <color indexed="10"/>
            <rFont val="Tahoma"/>
            <family val="2"/>
          </rPr>
          <t>sisesta siia kuupäev, millise seisuga olemasolevad andmed esitatakse</t>
        </r>
      </text>
    </comment>
    <comment ref="C1" authorId="1">
      <text>
        <r>
          <rPr>
            <sz val="9"/>
            <rFont val="Tahoma"/>
            <family val="2"/>
          </rPr>
          <t xml:space="preserve">Prognoos esitatakse nelja majandusaasta kohta arvates kavandatava investeeringuobjekti valmimise aastast
</t>
        </r>
      </text>
    </comment>
  </commentList>
</comments>
</file>

<file path=xl/sharedStrings.xml><?xml version="1.0" encoding="utf-8"?>
<sst xmlns="http://schemas.openxmlformats.org/spreadsheetml/2006/main" count="341" uniqueCount="240">
  <si>
    <t>KASSAVOOGUDE PROGNOOS</t>
  </si>
  <si>
    <t>2.aasta</t>
  </si>
  <si>
    <t>3.aasta</t>
  </si>
  <si>
    <t>Raha jääk perioodi algul</t>
  </si>
  <si>
    <t>Müügitulu</t>
  </si>
  <si>
    <t>Muud äritulud (renditulu, intressitulu jne.)</t>
  </si>
  <si>
    <t>Käibemaks</t>
  </si>
  <si>
    <t>Kapitali sissemaksed</t>
  </si>
  <si>
    <t>Laekumine kokku</t>
  </si>
  <si>
    <t>Toore ja materjal</t>
  </si>
  <si>
    <t>Küte</t>
  </si>
  <si>
    <t>Elekter</t>
  </si>
  <si>
    <t>Rent</t>
  </si>
  <si>
    <t>Ostetud transporditeenused</t>
  </si>
  <si>
    <t>Autokütus</t>
  </si>
  <si>
    <t>Autohooldus ja remondikulud</t>
  </si>
  <si>
    <t>Sõidukite kindlustus</t>
  </si>
  <si>
    <t>GSM</t>
  </si>
  <si>
    <t>Tavatelefon</t>
  </si>
  <si>
    <t>Arvutustehnika ja tarkavaraga seotud kulu</t>
  </si>
  <si>
    <t>Pangakulu</t>
  </si>
  <si>
    <t>Reklaamikulud</t>
  </si>
  <si>
    <t>Kasutamine kokku</t>
  </si>
  <si>
    <t>Raha jääk perioodi lõpus</t>
  </si>
  <si>
    <t>Raha sissetulek</t>
  </si>
  <si>
    <t>Raha väljaminek</t>
  </si>
  <si>
    <t>Majandustegevuse käigus tekkivad kulud</t>
  </si>
  <si>
    <t>Turustuskulud</t>
  </si>
  <si>
    <t xml:space="preserve">Otseselt põhitegevuse eesmärgil soetused </t>
  </si>
  <si>
    <t>Ostuteenused</t>
  </si>
  <si>
    <t>Transpordikulud</t>
  </si>
  <si>
    <t>Üldhalduskulud</t>
  </si>
  <si>
    <t>Turustamisega seotud transporditeenused</t>
  </si>
  <si>
    <t>Turustamisega seotud autokütus</t>
  </si>
  <si>
    <t>Kantseleitarbed</t>
  </si>
  <si>
    <t>Bürootehnika</t>
  </si>
  <si>
    <t>Mööbel ja muu inventar</t>
  </si>
  <si>
    <t>Ruumide korrashoiukulud</t>
  </si>
  <si>
    <t>Koolituskulud</t>
  </si>
  <si>
    <t>IT ja sidekulud</t>
  </si>
  <si>
    <t>Valveteenused</t>
  </si>
  <si>
    <t>Personalikulu</t>
  </si>
  <si>
    <t>Ruumide majandamiskulud</t>
  </si>
  <si>
    <t>Ruumide kindlustus</t>
  </si>
  <si>
    <t>Maksud</t>
  </si>
  <si>
    <t>Muud kulud</t>
  </si>
  <si>
    <t>Ruumide remondikulud</t>
  </si>
  <si>
    <t>Seadmete hooldus ja remont</t>
  </si>
  <si>
    <t>Finantseerimistegevusest</t>
  </si>
  <si>
    <t>Investeerimistegevusest</t>
  </si>
  <si>
    <t>1. aasta kokku</t>
  </si>
  <si>
    <t>ühikuid (tundi, tk)</t>
  </si>
  <si>
    <t>ühe ühiku keskmine müügihind</t>
  </si>
  <si>
    <t>Käibemaksu korrigeerimised</t>
  </si>
  <si>
    <t>1. aasta</t>
  </si>
  <si>
    <t>KASUMIARUANDE PROGNOOS</t>
  </si>
  <si>
    <t>Müügitulud kokku</t>
  </si>
  <si>
    <t>Kulud kokku</t>
  </si>
  <si>
    <t>Amortisatsioon</t>
  </si>
  <si>
    <t>Hoonete amort</t>
  </si>
  <si>
    <t>Kasum majandustegevusest</t>
  </si>
  <si>
    <t>Tulud majandustegevusest</t>
  </si>
  <si>
    <t>Intressid</t>
  </si>
  <si>
    <t>I aasta</t>
  </si>
  <si>
    <t>II aasta</t>
  </si>
  <si>
    <t>III aasta</t>
  </si>
  <si>
    <t>Brutopalk (makstakse välja samal kuul)</t>
  </si>
  <si>
    <t>Finantskulud</t>
  </si>
  <si>
    <t>Seadmete amortisatsiooninorm %</t>
  </si>
  <si>
    <t>Hoonete amortisatsiooninorm %</t>
  </si>
  <si>
    <t>BILANSI PROGNOOS</t>
  </si>
  <si>
    <t>AKTIVA</t>
  </si>
  <si>
    <t>Raha ja pangakontod</t>
  </si>
  <si>
    <t>Nõuded ostjate vastu</t>
  </si>
  <si>
    <t>Mitmesugused nõuded</t>
  </si>
  <si>
    <t>Ettemaksed</t>
  </si>
  <si>
    <t>Valmistoodangu varu</t>
  </si>
  <si>
    <t>Käibevara kokku</t>
  </si>
  <si>
    <t>Põhivara kokku</t>
  </si>
  <si>
    <t>AKTIVA KOKKU</t>
  </si>
  <si>
    <t>PASSIVA (KOHUSTUSED JA OMAKAPITAL)</t>
  </si>
  <si>
    <t>Ostjate ettemaksed toodete ja kaupade eest</t>
  </si>
  <si>
    <t>Võlad tarnijatele</t>
  </si>
  <si>
    <t>Mitmesugused võlad</t>
  </si>
  <si>
    <t>Maksuvõlad</t>
  </si>
  <si>
    <t>Lühiajalised kohutused kokku</t>
  </si>
  <si>
    <t>Pikaajalised laenud, kapitalirent</t>
  </si>
  <si>
    <t>Muud pikaajalised võlad</t>
  </si>
  <si>
    <t>Pikaajalised kohustused kokku</t>
  </si>
  <si>
    <t>Osakapital nimiväärtuses</t>
  </si>
  <si>
    <t>Kohustuslik reservkapital</t>
  </si>
  <si>
    <t>Eelmiste perioodide jaotamata kasum</t>
  </si>
  <si>
    <t>Aruandeaasta kasum</t>
  </si>
  <si>
    <t>Omakapital kokku</t>
  </si>
  <si>
    <t>PASSIVA KOKKU</t>
  </si>
  <si>
    <t>2. aasta</t>
  </si>
  <si>
    <t>3. aasta</t>
  </si>
  <si>
    <t>seadmete soetamine</t>
  </si>
  <si>
    <t>hoonete amordi arvestus</t>
  </si>
  <si>
    <t>seadmete amordi arvestus</t>
  </si>
  <si>
    <t>Pikajalised laenud kreeditoridelt (pangalaen jm.)</t>
  </si>
  <si>
    <t>Lühiajalised laenud kreeditoridelt (pangalaen jm.)</t>
  </si>
  <si>
    <t>Pikaajalise laenu tagasimaksed</t>
  </si>
  <si>
    <t>Lühiajalise laenu tagasimaksed</t>
  </si>
  <si>
    <t>Muud maksud (riigilõivud jms)</t>
  </si>
  <si>
    <t>Sotsiaalmaks (tasutakse järgmisel kuul)</t>
  </si>
  <si>
    <t>Töötuskindlustusmaks (tasutakse jrgm kuul)</t>
  </si>
  <si>
    <t>Toodetud tooteid/teenuseid perioodil</t>
  </si>
  <si>
    <t>Laekumine müügist arvestades krediiti müüki</t>
  </si>
  <si>
    <t>Tooraine varu</t>
  </si>
  <si>
    <t>Muud finantstulud</t>
  </si>
  <si>
    <t>Muud tulud (renditulu, intressitulu jne.)</t>
  </si>
  <si>
    <t>Intressid jms</t>
  </si>
  <si>
    <t>Finantsprognooside täitmise juhend</t>
  </si>
  <si>
    <t>sh eksport</t>
  </si>
  <si>
    <t>sh ekspordiks %-des</t>
  </si>
  <si>
    <t>4. aasta</t>
  </si>
  <si>
    <t>IV aasta</t>
  </si>
  <si>
    <t>ekspordi osatähtsus käibes</t>
  </si>
  <si>
    <t>Krediiti müügi osakaal käibest (kui suur osa müügiarvetest laekub järgmisel kuul) %</t>
  </si>
  <si>
    <t>Materiaalne põhivara (hooned)</t>
  </si>
  <si>
    <t>Akumuleeritud kulum (miinusmärgiga)</t>
  </si>
  <si>
    <t>Pikaajaliste laenude, kapitalirendi lühiajaline osa</t>
  </si>
  <si>
    <t>Lühiajalised võlakohustused (laenud, kapitalirent)</t>
  </si>
  <si>
    <t>sellest 0% määraga maksustatavat müügitulu</t>
  </si>
  <si>
    <r>
      <t xml:space="preserve">Kas ettevõte hakkab/on registreeritud käibemaksukohustuslaseks </t>
    </r>
    <r>
      <rPr>
        <sz val="10"/>
        <color indexed="10"/>
        <rFont val="Arial"/>
        <family val="2"/>
      </rPr>
      <t>(jah/ei)</t>
    </r>
  </si>
  <si>
    <t>Jrk.nr.</t>
  </si>
  <si>
    <t>Kokku toote nr. 1 käive</t>
  </si>
  <si>
    <t>Kokku toote nr. 4 käive</t>
  </si>
  <si>
    <t>Kokku toote nr. 5 käive</t>
  </si>
  <si>
    <t>Toodetud ühikuid kokku tk</t>
  </si>
  <si>
    <t>materjali/kauba kulu ühikule kr</t>
  </si>
  <si>
    <r>
      <t xml:space="preserve">5. </t>
    </r>
    <r>
      <rPr>
        <b/>
        <i/>
        <sz val="10"/>
        <color indexed="12"/>
        <rFont val="Arial"/>
        <family val="2"/>
      </rPr>
      <t>Sinisega</t>
    </r>
    <r>
      <rPr>
        <sz val="10"/>
        <rFont val="Arial"/>
        <family val="2"/>
      </rPr>
      <t xml:space="preserve"> täidetud lahtrid genereeruvad automaatselt.</t>
    </r>
  </si>
  <si>
    <t>toodetav kogus kokku</t>
  </si>
  <si>
    <t>Siseriikliku käibe puhul rakenduv KM määr</t>
  </si>
  <si>
    <t>Kokku toote nr. 6 käive</t>
  </si>
  <si>
    <t>Kokku toote nr. 7 käive</t>
  </si>
  <si>
    <t>Kokku toote nr. 8 käive</t>
  </si>
  <si>
    <t>Kokku toote nr. 9 käive</t>
  </si>
  <si>
    <t>Kokku toote nr. 10 käive</t>
  </si>
  <si>
    <t>Kokku toote nr. 2 käive</t>
  </si>
  <si>
    <t>Kokku toote nr. 3 käive</t>
  </si>
  <si>
    <t>materjali/kauba keskmine laovaru vajadus %</t>
  </si>
  <si>
    <t>Ekspordikäive kokku</t>
  </si>
  <si>
    <t>Näide</t>
  </si>
  <si>
    <t>keskm.ühiku müügihind KM-ta</t>
  </si>
  <si>
    <t>käibemaksu arvestus</t>
  </si>
  <si>
    <t>hoonete soetamine, renoveerimine</t>
  </si>
  <si>
    <r>
      <t>6. "</t>
    </r>
    <r>
      <rPr>
        <b/>
        <i/>
        <sz val="10"/>
        <color indexed="12"/>
        <rFont val="Arial"/>
        <family val="2"/>
      </rPr>
      <t>Kasumiaruanne</t>
    </r>
    <r>
      <rPr>
        <sz val="10"/>
        <rFont val="Arial"/>
        <family val="2"/>
      </rPr>
      <t>" ja "</t>
    </r>
    <r>
      <rPr>
        <b/>
        <i/>
        <sz val="10"/>
        <color indexed="12"/>
        <rFont val="Arial"/>
        <family val="2"/>
      </rPr>
      <t>Bilanss</t>
    </r>
    <r>
      <rPr>
        <sz val="10"/>
        <rFont val="Arial"/>
        <family val="2"/>
      </rPr>
      <t>" genereeruvad "</t>
    </r>
    <r>
      <rPr>
        <b/>
        <i/>
        <sz val="10"/>
        <color indexed="12"/>
        <rFont val="Arial"/>
        <family val="2"/>
      </rPr>
      <t>Algandmete</t>
    </r>
    <r>
      <rPr>
        <sz val="10"/>
        <rFont val="Arial"/>
        <family val="2"/>
      </rPr>
      <t>" ja "</t>
    </r>
    <r>
      <rPr>
        <b/>
        <i/>
        <sz val="10"/>
        <color indexed="12"/>
        <rFont val="Arial"/>
        <family val="2"/>
      </rPr>
      <t>Kassavood"</t>
    </r>
    <r>
      <rPr>
        <sz val="10"/>
        <rFont val="Arial"/>
        <family val="2"/>
      </rPr>
      <t xml:space="preserve"> andmete alusel.</t>
    </r>
  </si>
  <si>
    <t>Algandmed seisuga</t>
  </si>
  <si>
    <t>Kokku töötasukulud</t>
  </si>
  <si>
    <t>Eelneva perioodi nõuded-kohustused (va. laenukohustused)</t>
  </si>
  <si>
    <r>
      <t>NB!</t>
    </r>
    <r>
      <rPr>
        <sz val="8"/>
        <rFont val="Arial"/>
        <family val="2"/>
      </rPr>
      <t xml:space="preserve"> Esimese kuu rahajäägile liidetakse juurde eelneva perioodi bilansis olevad nõuded ja avatakse maha lühiaj. kohustused (</t>
    </r>
    <r>
      <rPr>
        <sz val="8"/>
        <color indexed="10"/>
        <rFont val="Arial"/>
        <family val="2"/>
      </rPr>
      <t>v.a. laenukoh</t>
    </r>
    <r>
      <rPr>
        <sz val="8"/>
        <rFont val="Arial"/>
        <family val="2"/>
      </rPr>
      <t>)</t>
    </r>
  </si>
  <si>
    <t>Arvutus põhineb eeldusel, et kõik lühiaj. nõuded laekuvad ja lühiaj. kohustused tasutakse nõuete/kohustuste tekkimisele järgneval kuul</t>
  </si>
  <si>
    <r>
      <t xml:space="preserve">Toote/teenuse andmed - </t>
    </r>
    <r>
      <rPr>
        <b/>
        <sz val="8"/>
        <color indexed="10"/>
        <rFont val="Arial"/>
        <family val="2"/>
      </rPr>
      <t>asendage sinise kirjaga lahtrid oma toodete/teenusetega ning õigete käibemaksumääradega!</t>
    </r>
  </si>
  <si>
    <t xml:space="preserve">         sh muud halduskulud (amordita)</t>
  </si>
  <si>
    <t>Dividendide väljamaks (brutoumma)</t>
  </si>
  <si>
    <t>Omandis olevate hoonete renoveerimine (kapitaliseeritud kulud), soetatud hooned, hoonete ehitamine</t>
  </si>
  <si>
    <t>käiberentaablus</t>
  </si>
  <si>
    <t>lisandväärtus töötaja kohta</t>
  </si>
  <si>
    <t>keskmine töötajate arv</t>
  </si>
  <si>
    <t>Materiaalse põhivara soetus</t>
  </si>
  <si>
    <t>Immateriaalse põhivara (litsentsid, kaubamärgid, tarkvara jms) soetus</t>
  </si>
  <si>
    <t>Immateriaalse põhivara amortisatsiooninorm %</t>
  </si>
  <si>
    <t>immateriaalse põhivara soetamine</t>
  </si>
  <si>
    <t>immateriaalse põhivara amort</t>
  </si>
  <si>
    <t>Immateriaalse põhivara amort</t>
  </si>
  <si>
    <t>Seadmete ja muu põhivara amort</t>
  </si>
  <si>
    <t>Materiaalne põhivara (seadmed ja muud)</t>
  </si>
  <si>
    <t>Materiaalne põhivara</t>
  </si>
  <si>
    <t>Immateriaalne põhivara</t>
  </si>
  <si>
    <t>Immateriaalse põhivara kulum</t>
  </si>
  <si>
    <t>sellest 9% määraga maksustatavat müügitulu</t>
  </si>
  <si>
    <t>näide 9% KM</t>
  </si>
  <si>
    <t>sellest 20% määraga maksustavat müügitulu</t>
  </si>
  <si>
    <t>materjali/kauba kulu ühikule</t>
  </si>
  <si>
    <t xml:space="preserve">materjali/kauba kulu ühikule </t>
  </si>
  <si>
    <t xml:space="preserve">Müügitulu kasv võrreldes eelmise aastaga </t>
  </si>
  <si>
    <r>
      <t>1. Täita ära "</t>
    </r>
    <r>
      <rPr>
        <b/>
        <i/>
        <sz val="10"/>
        <color indexed="12"/>
        <rFont val="Arial"/>
        <family val="2"/>
      </rPr>
      <t>Algandmed</t>
    </r>
    <r>
      <rPr>
        <sz val="10"/>
        <rFont val="Arial"/>
        <family val="2"/>
      </rPr>
      <t>" lehel kõik vajalikud rohelise taustaga lahtrid!</t>
    </r>
  </si>
  <si>
    <t>sh ekspordiks eurodes</t>
  </si>
  <si>
    <r>
      <t xml:space="preserve">2. Täita ära </t>
    </r>
    <r>
      <rPr>
        <b/>
        <i/>
        <sz val="10"/>
        <color indexed="12"/>
        <rFont val="Arial"/>
        <family val="2"/>
      </rPr>
      <t>"Tooted"</t>
    </r>
    <r>
      <rPr>
        <sz val="10"/>
        <rFont val="Arial"/>
        <family val="2"/>
      </rPr>
      <t xml:space="preserve"> lehel kõik vajalikud andmed! NB! </t>
    </r>
    <r>
      <rPr>
        <b/>
        <i/>
        <sz val="10"/>
        <color indexed="12"/>
        <rFont val="Arial"/>
        <family val="2"/>
      </rPr>
      <t xml:space="preserve">Sinisega täidetud lahtrid on näitlikud ja neid saab muuta! </t>
    </r>
  </si>
  <si>
    <t>Tulud kokku</t>
  </si>
  <si>
    <t>jah</t>
  </si>
  <si>
    <t>31.12.201X</t>
  </si>
  <si>
    <t>Finantsvõimendus</t>
  </si>
  <si>
    <t>Kasumlikkus</t>
  </si>
  <si>
    <t>Likviidsus</t>
  </si>
  <si>
    <t>Käibekapitali osakaal</t>
  </si>
  <si>
    <t>Lühiajalise võlgnevuse kattekordaja</t>
  </si>
  <si>
    <t>Maksevalmiduse kordaja</t>
  </si>
  <si>
    <t>Võlakordaja</t>
  </si>
  <si>
    <t>Omakapitali kordisti</t>
  </si>
  <si>
    <t>Kapitali struktuur</t>
  </si>
  <si>
    <t>Pikaajalise võlgnevuse kordaja</t>
  </si>
  <si>
    <t>Varade käibesagedus</t>
  </si>
  <si>
    <t>Varude käibesagedus</t>
  </si>
  <si>
    <t>Varade rentaablus (ROA)</t>
  </si>
  <si>
    <t>Omakapitali rentaablus (ROE)</t>
  </si>
  <si>
    <t>EBITDA marginaal</t>
  </si>
  <si>
    <t>Tööjõud</t>
  </si>
  <si>
    <t>Investeeringu summa, eurot</t>
  </si>
  <si>
    <t>Kohukesed</t>
  </si>
  <si>
    <t>Kodujuust</t>
  </si>
  <si>
    <t>Tööjõu tootlikkus (kahe komponendiga)</t>
  </si>
  <si>
    <t>Kapitali hind (WACC) ehk diskontomäär</t>
  </si>
  <si>
    <t>Käive kokku eurodes</t>
  </si>
  <si>
    <t>Ühe ühiku keskmine müügihind eurodes</t>
  </si>
  <si>
    <t>Toorme maksumus toodetele kokku eurodes</t>
  </si>
  <si>
    <t>Toorme keskmine laovaru vajadus eurodes</t>
  </si>
  <si>
    <t>Toorme varu laos perioodi lõpuks eurodes</t>
  </si>
  <si>
    <t>Kulutused toormele kokku eurodes</t>
  </si>
  <si>
    <t>Masinad, seadmed ja muu põhivara</t>
  </si>
  <si>
    <t>20% KM määraga maksustatav käive</t>
  </si>
  <si>
    <r>
      <t>3. Täita ära "</t>
    </r>
    <r>
      <rPr>
        <b/>
        <i/>
        <sz val="10"/>
        <color indexed="12"/>
        <rFont val="Arial"/>
        <family val="2"/>
      </rPr>
      <t>Bilanss</t>
    </r>
    <r>
      <rPr>
        <sz val="10"/>
        <rFont val="Arial"/>
        <family val="2"/>
      </rPr>
      <t>" lehel eelmise tegevusperioodi veerg (B) kui majandustegevus on toimunud enne 2016 aastat</t>
    </r>
  </si>
  <si>
    <t>Laenukapitali kulukuse määr (hind)</t>
  </si>
  <si>
    <t>Omakapitali kulukuse määr (hind)</t>
  </si>
  <si>
    <t>Diskonteerimistegur</t>
  </si>
  <si>
    <t>Diskonteeritud rahavood</t>
  </si>
  <si>
    <r>
      <t>4. Täita ära "</t>
    </r>
    <r>
      <rPr>
        <b/>
        <i/>
        <sz val="10"/>
        <color indexed="12"/>
        <rFont val="Arial"/>
        <family val="2"/>
      </rPr>
      <t>Kassavood</t>
    </r>
    <r>
      <rPr>
        <sz val="10"/>
        <rFont val="Arial"/>
        <family val="2"/>
      </rPr>
      <t xml:space="preserve">" lehel tühjad lahtrid! Siin esitada andmed </t>
    </r>
    <r>
      <rPr>
        <b/>
        <i/>
        <sz val="10"/>
        <color indexed="12"/>
        <rFont val="Arial"/>
        <family val="2"/>
      </rPr>
      <t xml:space="preserve">projekti esimese majandusaasta </t>
    </r>
    <r>
      <rPr>
        <sz val="10"/>
        <rFont val="Arial"/>
        <family val="2"/>
      </rPr>
      <t xml:space="preserve">kohta. </t>
    </r>
  </si>
  <si>
    <t>Põhitooraine ehk toorpiima kogus või ekvivalendilt ümber arvestus, kg</t>
  </si>
  <si>
    <t>Käibekapitali kasv</t>
  </si>
  <si>
    <t>EBITDA</t>
  </si>
  <si>
    <t>Ettevõtte rahavoo kasvumäär lõpmatusse (vaikimisi kasvumäär 1,5%)</t>
  </si>
  <si>
    <t>aastat</t>
  </si>
  <si>
    <t>Investeeringu keskmine tasuvusaeg (rahavoo periood 20 aastat)</t>
  </si>
  <si>
    <t>8. Omakapitali kulukse määr on fikseeritud ja kõikidele taotlejatele kehtib üks ja sama väärtus.</t>
  </si>
  <si>
    <t>7. Laenukapitali kulukuse määra märigib taotleja ise.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</si>
  <si>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</si>
  <si>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</si>
  <si>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</si>
  <si>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</si>
  <si>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</si>
  <si>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</si>
  <si>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</si>
  <si>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</si>
  <si>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</si>
  <si>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</si>
  <si>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</si>
  <si>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</si>
  <si>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20XX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</si>
</sst>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\-mmm\-yy"/>
    <numFmt numFmtId="173" formatCode="_-* #,##0\ _k_r_-;\-* #,##0\ _k_r_-;_-* &quot;-&quot;??\ _k_r_-;_-@_-"/>
    <numFmt numFmtId="174" formatCode="#,##0_ ;[Red]\-#,##0\ "/>
    <numFmt numFmtId="175" formatCode="0.0%"/>
    <numFmt numFmtId="176" formatCode="mmm/yyyy"/>
    <numFmt numFmtId="177" formatCode="#,##0_ ;\-#,##0\ "/>
    <numFmt numFmtId="178" formatCode="#,##0\ &quot;kr&quot;"/>
    <numFmt numFmtId="179" formatCode="&quot;Kokku &quot;\&amp;\A\2"/>
    <numFmt numFmtId="180" formatCode="mmmm"/>
    <numFmt numFmtId="181" formatCode="#,##0.00_ ;[Red]\-#,##0.00\ "/>
    <numFmt numFmtId="182" formatCode="[$-425]d\.\ mmmm\ yyyy&quot;. a.&quot;"/>
    <numFmt numFmtId="183" formatCode="dd\.mm\.yy;@"/>
    <numFmt numFmtId="184" formatCode="[$-F800]dddd\,\ mmmm\ dd\,\ yyyy"/>
    <numFmt numFmtId="185" formatCode="&quot;Jah&quot;;&quot;Jah&quot;;&quot;Ei&quot;"/>
    <numFmt numFmtId="186" formatCode="&quot;Tõene&quot;;&quot;Tõene&quot;;&quot;Väär&quot;"/>
    <numFmt numFmtId="187" formatCode="&quot;Sees&quot;;&quot;Sees&quot;;&quot;Väljas&quot;"/>
    <numFmt numFmtId="188" formatCode="[$€-2]\ #,##0.00_);[Red]\([$€-2]\ #,##0.00\)"/>
    <numFmt numFmtId="189" formatCode="#,##0\ &quot;eur&quot;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0"/>
    <numFmt numFmtId="198" formatCode="0.0000000000"/>
    <numFmt numFmtId="199" formatCode="0.00000000000"/>
    <numFmt numFmtId="200" formatCode="#,##0.0"/>
    <numFmt numFmtId="201" formatCode="#,##0.000"/>
    <numFmt numFmtId="202" formatCode="#,##0.0000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i/>
      <sz val="8"/>
      <color indexed="1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i/>
      <sz val="8"/>
      <color indexed="6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0"/>
      <name val="Arial"/>
      <family val="2"/>
    </font>
    <font>
      <i/>
      <sz val="8"/>
      <color indexed="45"/>
      <name val="Arial"/>
      <family val="2"/>
    </font>
    <font>
      <i/>
      <sz val="8"/>
      <name val="Arial"/>
      <family val="2"/>
    </font>
    <font>
      <b/>
      <sz val="14"/>
      <color indexed="10"/>
      <name val="Tahoma"/>
      <family val="2"/>
    </font>
    <font>
      <sz val="8"/>
      <name val="Tahoma"/>
      <family val="2"/>
    </font>
    <font>
      <b/>
      <i/>
      <sz val="8"/>
      <color indexed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8"/>
      <color indexed="60"/>
      <name val="Arial"/>
      <family val="2"/>
    </font>
    <font>
      <sz val="8"/>
      <color indexed="10"/>
      <name val="Tahoma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i/>
      <sz val="8"/>
      <color indexed="56"/>
      <name val="Arial"/>
      <family val="2"/>
    </font>
    <font>
      <sz val="11"/>
      <color indexed="50"/>
      <name val="Calibri"/>
      <family val="2"/>
    </font>
    <font>
      <sz val="11"/>
      <name val="Calibri"/>
      <family val="2"/>
    </font>
    <font>
      <b/>
      <sz val="8"/>
      <color indexed="3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6600FF"/>
      <name val="Arial"/>
      <family val="2"/>
    </font>
    <font>
      <b/>
      <sz val="8"/>
      <color rgb="FFFF0000"/>
      <name val="Arial"/>
      <family val="2"/>
    </font>
    <font>
      <sz val="10"/>
      <color rgb="FF0070C0"/>
      <name val="Arial"/>
      <family val="2"/>
    </font>
    <font>
      <b/>
      <i/>
      <sz val="8"/>
      <color rgb="FF002060"/>
      <name val="Arial"/>
      <family val="2"/>
    </font>
    <font>
      <sz val="11"/>
      <color rgb="FF92D050"/>
      <name val="Calibri"/>
      <family val="2"/>
    </font>
    <font>
      <b/>
      <sz val="8"/>
      <color rgb="FF0070C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>
        <color indexed="60"/>
      </top>
      <bottom style="thin"/>
    </border>
    <border>
      <left style="thin"/>
      <right style="thin"/>
      <top style="thin"/>
      <bottom style="thick">
        <color indexed="60"/>
      </bottom>
    </border>
    <border>
      <left style="thin"/>
      <right style="thick">
        <color indexed="60"/>
      </right>
      <top style="thin"/>
      <bottom style="thin"/>
    </border>
    <border>
      <left style="thin"/>
      <right style="thick">
        <color indexed="60"/>
      </right>
      <top style="thin"/>
      <bottom style="thick">
        <color indexed="6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ck">
        <color indexed="60"/>
      </right>
      <top style="thick">
        <color indexed="60"/>
      </top>
      <bottom style="thin"/>
    </border>
    <border>
      <left style="thick">
        <color indexed="60"/>
      </left>
      <right style="thin"/>
      <top style="thick">
        <color indexed="60"/>
      </top>
      <bottom style="thin"/>
    </border>
    <border>
      <left style="thick">
        <color indexed="60"/>
      </left>
      <right style="thin"/>
      <top style="thin"/>
      <bottom style="thin"/>
    </border>
    <border>
      <left style="thick">
        <color indexed="60"/>
      </left>
      <right style="thin"/>
      <top style="thin"/>
      <bottom style="thick">
        <color indexed="60"/>
      </bottom>
    </border>
    <border>
      <left/>
      <right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178" fontId="0" fillId="0" borderId="0" xfId="0" applyNumberFormat="1" applyAlignment="1" applyProtection="1">
      <alignment horizontal="center"/>
      <protection/>
    </xf>
    <xf numFmtId="178" fontId="0" fillId="0" borderId="0" xfId="0" applyNumberFormat="1" applyAlignment="1" applyProtection="1">
      <alignment/>
      <protection/>
    </xf>
    <xf numFmtId="0" fontId="2" fillId="0" borderId="10" xfId="0" applyFont="1" applyBorder="1" applyAlignment="1">
      <alignment wrapText="1"/>
    </xf>
    <xf numFmtId="17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3" fontId="2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9" fontId="12" fillId="0" borderId="13" xfId="0" applyNumberFormat="1" applyFont="1" applyFill="1" applyBorder="1" applyAlignment="1" applyProtection="1">
      <alignment horizontal="center"/>
      <protection locked="0"/>
    </xf>
    <xf numFmtId="179" fontId="2" fillId="34" borderId="13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9" fontId="12" fillId="35" borderId="13" xfId="0" applyNumberFormat="1" applyFont="1" applyFill="1" applyBorder="1" applyAlignment="1" applyProtection="1">
      <alignment horizontal="center"/>
      <protection locked="0"/>
    </xf>
    <xf numFmtId="9" fontId="12" fillId="0" borderId="1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/>
      <protection/>
    </xf>
    <xf numFmtId="0" fontId="30" fillId="36" borderId="10" xfId="0" applyFont="1" applyFill="1" applyBorder="1" applyAlignment="1">
      <alignment wrapText="1"/>
    </xf>
    <xf numFmtId="3" fontId="30" fillId="36" borderId="10" xfId="0" applyNumberFormat="1" applyFont="1" applyFill="1" applyBorder="1" applyAlignment="1">
      <alignment/>
    </xf>
    <xf numFmtId="3" fontId="30" fillId="36" borderId="11" xfId="0" applyNumberFormat="1" applyFont="1" applyFill="1" applyBorder="1" applyAlignment="1">
      <alignment/>
    </xf>
    <xf numFmtId="3" fontId="30" fillId="36" borderId="12" xfId="0" applyNumberFormat="1" applyFont="1" applyFill="1" applyBorder="1" applyAlignment="1">
      <alignment/>
    </xf>
    <xf numFmtId="9" fontId="30" fillId="36" borderId="10" xfId="0" applyNumberFormat="1" applyFont="1" applyFill="1" applyBorder="1" applyAlignment="1">
      <alignment/>
    </xf>
    <xf numFmtId="3" fontId="30" fillId="36" borderId="1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>
      <alignment/>
    </xf>
    <xf numFmtId="4" fontId="2" fillId="34" borderId="13" xfId="0" applyNumberFormat="1" applyFont="1" applyFill="1" applyBorder="1" applyAlignment="1" applyProtection="1">
      <alignment/>
      <protection/>
    </xf>
    <xf numFmtId="4" fontId="2" fillId="34" borderId="15" xfId="0" applyNumberFormat="1" applyFont="1" applyFill="1" applyBorder="1" applyAlignment="1">
      <alignment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14" xfId="0" applyNumberFormat="1" applyFont="1" applyBorder="1" applyAlignment="1" applyProtection="1">
      <alignment/>
      <protection locked="0"/>
    </xf>
    <xf numFmtId="4" fontId="2" fillId="37" borderId="0" xfId="0" applyNumberFormat="1" applyFont="1" applyFill="1" applyBorder="1" applyAlignment="1" applyProtection="1">
      <alignment horizontal="right"/>
      <protection/>
    </xf>
    <xf numFmtId="4" fontId="2" fillId="37" borderId="0" xfId="0" applyNumberFormat="1" applyFont="1" applyFill="1" applyAlignment="1">
      <alignment/>
    </xf>
    <xf numFmtId="4" fontId="10" fillId="37" borderId="0" xfId="0" applyNumberFormat="1" applyFont="1" applyFill="1" applyAlignment="1" applyProtection="1">
      <alignment horizontal="left" wrapText="1"/>
      <protection/>
    </xf>
    <xf numFmtId="4" fontId="23" fillId="37" borderId="0" xfId="0" applyNumberFormat="1" applyFont="1" applyFill="1" applyAlignment="1" applyProtection="1">
      <alignment horizontal="right"/>
      <protection/>
    </xf>
    <xf numFmtId="4" fontId="23" fillId="37" borderId="0" xfId="0" applyNumberFormat="1" applyFont="1" applyFill="1" applyBorder="1" applyAlignment="1" applyProtection="1">
      <alignment horizontal="right"/>
      <protection/>
    </xf>
    <xf numFmtId="4" fontId="23" fillId="37" borderId="0" xfId="0" applyNumberFormat="1" applyFont="1" applyFill="1" applyAlignment="1">
      <alignment/>
    </xf>
    <xf numFmtId="4" fontId="11" fillId="0" borderId="10" xfId="0" applyNumberFormat="1" applyFont="1" applyBorder="1" applyAlignment="1" applyProtection="1">
      <alignment horizontal="right"/>
      <protection/>
    </xf>
    <xf numFmtId="4" fontId="11" fillId="0" borderId="10" xfId="42" applyNumberFormat="1" applyFont="1" applyFill="1" applyBorder="1" applyAlignment="1" applyProtection="1">
      <alignment horizontal="right"/>
      <protection hidden="1"/>
    </xf>
    <xf numFmtId="4" fontId="11" fillId="0" borderId="10" xfId="0" applyNumberFormat="1" applyFont="1" applyFill="1" applyBorder="1" applyAlignment="1" applyProtection="1">
      <alignment horizontal="right"/>
      <protection hidden="1"/>
    </xf>
    <xf numFmtId="4" fontId="2" fillId="37" borderId="0" xfId="0" applyNumberFormat="1" applyFont="1" applyFill="1" applyBorder="1" applyAlignment="1">
      <alignment/>
    </xf>
    <xf numFmtId="4" fontId="4" fillId="37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2" fillId="37" borderId="0" xfId="42" applyNumberFormat="1" applyFont="1" applyFill="1" applyBorder="1" applyAlignment="1" applyProtection="1">
      <alignment horizontal="right"/>
      <protection/>
    </xf>
    <xf numFmtId="4" fontId="9" fillId="37" borderId="0" xfId="0" applyNumberFormat="1" applyFont="1" applyFill="1" applyBorder="1" applyAlignment="1" applyProtection="1">
      <alignment/>
      <protection/>
    </xf>
    <xf numFmtId="4" fontId="9" fillId="37" borderId="0" xfId="0" applyNumberFormat="1" applyFont="1" applyFill="1" applyBorder="1" applyAlignment="1" applyProtection="1">
      <alignment horizontal="right"/>
      <protection/>
    </xf>
    <xf numFmtId="4" fontId="9" fillId="37" borderId="0" xfId="0" applyNumberFormat="1" applyFont="1" applyFill="1" applyBorder="1" applyAlignment="1">
      <alignment/>
    </xf>
    <xf numFmtId="4" fontId="2" fillId="37" borderId="10" xfId="0" applyNumberFormat="1" applyFont="1" applyFill="1" applyBorder="1" applyAlignment="1" applyProtection="1">
      <alignment horizontal="left" indent="3"/>
      <protection/>
    </xf>
    <xf numFmtId="4" fontId="11" fillId="37" borderId="11" xfId="42" applyNumberFormat="1" applyFont="1" applyFill="1" applyBorder="1" applyAlignment="1" applyProtection="1">
      <alignment horizontal="right"/>
      <protection hidden="1"/>
    </xf>
    <xf numFmtId="4" fontId="2" fillId="37" borderId="0" xfId="0" applyNumberFormat="1" applyFont="1" applyFill="1" applyBorder="1" applyAlignment="1">
      <alignment horizontal="left" indent="1"/>
    </xf>
    <xf numFmtId="4" fontId="24" fillId="37" borderId="16" xfId="0" applyNumberFormat="1" applyFont="1" applyFill="1" applyBorder="1" applyAlignment="1" applyProtection="1">
      <alignment horizontal="left" indent="6"/>
      <protection/>
    </xf>
    <xf numFmtId="4" fontId="2" fillId="37" borderId="16" xfId="0" applyNumberFormat="1" applyFont="1" applyFill="1" applyBorder="1" applyAlignment="1" applyProtection="1">
      <alignment horizontal="left" indent="8"/>
      <protection/>
    </xf>
    <xf numFmtId="4" fontId="11" fillId="37" borderId="10" xfId="42" applyNumberFormat="1" applyFont="1" applyFill="1" applyBorder="1" applyAlignment="1" applyProtection="1">
      <alignment horizontal="right"/>
      <protection hidden="1"/>
    </xf>
    <xf numFmtId="4" fontId="6" fillId="37" borderId="0" xfId="0" applyNumberFormat="1" applyFont="1" applyFill="1" applyBorder="1" applyAlignment="1" applyProtection="1">
      <alignment horizontal="left" indent="8"/>
      <protection/>
    </xf>
    <xf numFmtId="4" fontId="6" fillId="37" borderId="0" xfId="42" applyNumberFormat="1" applyFont="1" applyFill="1" applyBorder="1" applyAlignment="1" applyProtection="1">
      <alignment horizontal="right"/>
      <protection/>
    </xf>
    <xf numFmtId="4" fontId="6" fillId="37" borderId="0" xfId="0" applyNumberFormat="1" applyFont="1" applyFill="1" applyBorder="1" applyAlignment="1">
      <alignment horizontal="left" indent="1"/>
    </xf>
    <xf numFmtId="4" fontId="13" fillId="37" borderId="0" xfId="0" applyNumberFormat="1" applyFont="1" applyFill="1" applyBorder="1" applyAlignment="1" applyProtection="1">
      <alignment/>
      <protection/>
    </xf>
    <xf numFmtId="4" fontId="11" fillId="37" borderId="10" xfId="42" applyNumberFormat="1" applyFont="1" applyFill="1" applyBorder="1" applyAlignment="1" applyProtection="1">
      <alignment horizontal="right"/>
      <protection hidden="1"/>
    </xf>
    <xf numFmtId="4" fontId="24" fillId="37" borderId="10" xfId="0" applyNumberFormat="1" applyFont="1" applyFill="1" applyBorder="1" applyAlignment="1" applyProtection="1">
      <alignment horizontal="left" indent="6"/>
      <protection/>
    </xf>
    <xf numFmtId="4" fontId="2" fillId="37" borderId="10" xfId="42" applyNumberFormat="1" applyFont="1" applyFill="1" applyBorder="1" applyAlignment="1" applyProtection="1">
      <alignment horizontal="right"/>
      <protection locked="0"/>
    </xf>
    <xf numFmtId="4" fontId="14" fillId="37" borderId="10" xfId="0" applyNumberFormat="1" applyFont="1" applyFill="1" applyBorder="1" applyAlignment="1" applyProtection="1">
      <alignment horizontal="left" indent="2"/>
      <protection/>
    </xf>
    <xf numFmtId="4" fontId="2" fillId="0" borderId="10" xfId="0" applyNumberFormat="1" applyFont="1" applyBorder="1" applyAlignment="1" applyProtection="1">
      <alignment horizontal="right"/>
      <protection locked="0"/>
    </xf>
    <xf numFmtId="4" fontId="4" fillId="37" borderId="10" xfId="0" applyNumberFormat="1" applyFont="1" applyFill="1" applyBorder="1" applyAlignment="1" applyProtection="1">
      <alignment horizontal="left" indent="3"/>
      <protection/>
    </xf>
    <xf numFmtId="4" fontId="4" fillId="37" borderId="0" xfId="0" applyNumberFormat="1" applyFont="1" applyFill="1" applyBorder="1" applyAlignment="1">
      <alignment horizontal="left" indent="1"/>
    </xf>
    <xf numFmtId="4" fontId="4" fillId="37" borderId="0" xfId="0" applyNumberFormat="1" applyFont="1" applyFill="1" applyBorder="1" applyAlignment="1" applyProtection="1">
      <alignment horizontal="left" indent="2"/>
      <protection/>
    </xf>
    <xf numFmtId="4" fontId="4" fillId="37" borderId="0" xfId="42" applyNumberFormat="1" applyFont="1" applyFill="1" applyBorder="1" applyAlignment="1" applyProtection="1">
      <alignment horizontal="right"/>
      <protection/>
    </xf>
    <xf numFmtId="4" fontId="4" fillId="37" borderId="0" xfId="0" applyNumberFormat="1" applyFont="1" applyFill="1" applyAlignment="1">
      <alignment/>
    </xf>
    <xf numFmtId="4" fontId="2" fillId="37" borderId="0" xfId="42" applyNumberFormat="1" applyFont="1" applyFill="1" applyBorder="1" applyAlignment="1" applyProtection="1">
      <alignment horizontal="right"/>
      <protection locked="0"/>
    </xf>
    <xf numFmtId="4" fontId="2" fillId="37" borderId="0" xfId="0" applyNumberFormat="1" applyFont="1" applyFill="1" applyBorder="1" applyAlignment="1" applyProtection="1">
      <alignment horizontal="left" indent="2"/>
      <protection/>
    </xf>
    <xf numFmtId="4" fontId="12" fillId="37" borderId="0" xfId="0" applyNumberFormat="1" applyFont="1" applyFill="1" applyBorder="1" applyAlignment="1" applyProtection="1">
      <alignment horizontal="left"/>
      <protection/>
    </xf>
    <xf numFmtId="4" fontId="11" fillId="37" borderId="17" xfId="42" applyNumberFormat="1" applyFont="1" applyFill="1" applyBorder="1" applyAlignment="1" applyProtection="1">
      <alignment horizontal="right"/>
      <protection hidden="1"/>
    </xf>
    <xf numFmtId="4" fontId="2" fillId="37" borderId="0" xfId="0" applyNumberFormat="1" applyFont="1" applyFill="1" applyBorder="1" applyAlignment="1" applyProtection="1">
      <alignment horizontal="left" indent="3"/>
      <protection/>
    </xf>
    <xf numFmtId="4" fontId="4" fillId="37" borderId="0" xfId="0" applyNumberFormat="1" applyFont="1" applyFill="1" applyBorder="1" applyAlignment="1" applyProtection="1">
      <alignment horizontal="left"/>
      <protection/>
    </xf>
    <xf numFmtId="4" fontId="78" fillId="37" borderId="0" xfId="0" applyNumberFormat="1" applyFont="1" applyFill="1" applyBorder="1" applyAlignment="1" applyProtection="1">
      <alignment horizontal="left" indent="1"/>
      <protection locked="0"/>
    </xf>
    <xf numFmtId="4" fontId="4" fillId="37" borderId="0" xfId="0" applyNumberFormat="1" applyFont="1" applyFill="1" applyBorder="1" applyAlignment="1" applyProtection="1">
      <alignment horizontal="left" indent="1"/>
      <protection/>
    </xf>
    <xf numFmtId="4" fontId="2" fillId="0" borderId="10" xfId="0" applyNumberFormat="1" applyFont="1" applyFill="1" applyBorder="1" applyAlignment="1" applyProtection="1">
      <alignment horizontal="left" indent="3"/>
      <protection/>
    </xf>
    <xf numFmtId="4" fontId="2" fillId="0" borderId="10" xfId="42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 applyProtection="1">
      <alignment horizontal="left"/>
      <protection/>
    </xf>
    <xf numFmtId="4" fontId="2" fillId="37" borderId="0" xfId="0" applyNumberFormat="1" applyFont="1" applyFill="1" applyAlignment="1" applyProtection="1">
      <alignment horizontal="right"/>
      <protection locked="0"/>
    </xf>
    <xf numFmtId="4" fontId="2" fillId="0" borderId="18" xfId="0" applyNumberFormat="1" applyFont="1" applyFill="1" applyBorder="1" applyAlignment="1" applyProtection="1">
      <alignment/>
      <protection locked="0"/>
    </xf>
    <xf numFmtId="4" fontId="11" fillId="37" borderId="10" xfId="42" applyNumberFormat="1" applyFont="1" applyFill="1" applyBorder="1" applyAlignment="1" applyProtection="1">
      <alignment horizontal="right"/>
      <protection locked="0"/>
    </xf>
    <xf numFmtId="4" fontId="4" fillId="37" borderId="10" xfId="0" applyNumberFormat="1" applyFont="1" applyFill="1" applyBorder="1" applyAlignment="1" applyProtection="1">
      <alignment horizontal="left"/>
      <protection/>
    </xf>
    <xf numFmtId="4" fontId="4" fillId="37" borderId="0" xfId="0" applyNumberFormat="1" applyFont="1" applyFill="1" applyBorder="1" applyAlignment="1">
      <alignment/>
    </xf>
    <xf numFmtId="4" fontId="11" fillId="37" borderId="0" xfId="42" applyNumberFormat="1" applyFont="1" applyFill="1" applyBorder="1" applyAlignment="1" applyProtection="1">
      <alignment horizontal="right"/>
      <protection hidden="1"/>
    </xf>
    <xf numFmtId="4" fontId="2" fillId="37" borderId="0" xfId="0" applyNumberFormat="1" applyFont="1" applyFill="1" applyBorder="1" applyAlignment="1">
      <alignment horizontal="right"/>
    </xf>
    <xf numFmtId="4" fontId="9" fillId="37" borderId="0" xfId="0" applyNumberFormat="1" applyFont="1" applyFill="1" applyBorder="1" applyAlignment="1" applyProtection="1">
      <alignment horizontal="right"/>
      <protection hidden="1"/>
    </xf>
    <xf numFmtId="4" fontId="28" fillId="37" borderId="0" xfId="0" applyNumberFormat="1" applyFont="1" applyFill="1" applyBorder="1" applyAlignment="1">
      <alignment horizontal="left"/>
    </xf>
    <xf numFmtId="4" fontId="2" fillId="37" borderId="0" xfId="0" applyNumberFormat="1" applyFont="1" applyFill="1" applyBorder="1" applyAlignment="1">
      <alignment horizontal="left"/>
    </xf>
    <xf numFmtId="4" fontId="2" fillId="37" borderId="0" xfId="0" applyNumberFormat="1" applyFont="1" applyFill="1" applyAlignment="1">
      <alignment horizontal="right"/>
    </xf>
    <xf numFmtId="4" fontId="2" fillId="37" borderId="0" xfId="0" applyNumberFormat="1" applyFont="1" applyFill="1" applyAlignment="1" applyProtection="1">
      <alignment/>
      <protection hidden="1"/>
    </xf>
    <xf numFmtId="4" fontId="2" fillId="37" borderId="0" xfId="0" applyNumberFormat="1" applyFont="1" applyFill="1" applyAlignment="1" applyProtection="1">
      <alignment horizontal="right"/>
      <protection hidden="1"/>
    </xf>
    <xf numFmtId="4" fontId="3" fillId="37" borderId="0" xfId="0" applyNumberFormat="1" applyFont="1" applyFill="1" applyAlignment="1" applyProtection="1">
      <alignment horizontal="left"/>
      <protection/>
    </xf>
    <xf numFmtId="4" fontId="0" fillId="0" borderId="0" xfId="0" applyNumberFormat="1" applyAlignment="1">
      <alignment/>
    </xf>
    <xf numFmtId="4" fontId="20" fillId="37" borderId="0" xfId="0" applyNumberFormat="1" applyFont="1" applyFill="1" applyBorder="1" applyAlignment="1" applyProtection="1">
      <alignment horizontal="right"/>
      <protection/>
    </xf>
    <xf numFmtId="4" fontId="5" fillId="37" borderId="0" xfId="0" applyNumberFormat="1" applyFont="1" applyFill="1" applyBorder="1" applyAlignment="1" applyProtection="1">
      <alignment/>
      <protection/>
    </xf>
    <xf numFmtId="4" fontId="0" fillId="37" borderId="10" xfId="0" applyNumberFormat="1" applyFont="1" applyFill="1" applyBorder="1" applyAlignment="1" applyProtection="1">
      <alignment horizontal="left" indent="3"/>
      <protection/>
    </xf>
    <xf numFmtId="4" fontId="19" fillId="37" borderId="10" xfId="0" applyNumberFormat="1" applyFont="1" applyFill="1" applyBorder="1" applyAlignment="1" applyProtection="1">
      <alignment horizontal="left" indent="6"/>
      <protection/>
    </xf>
    <xf numFmtId="4" fontId="19" fillId="37" borderId="10" xfId="0" applyNumberFormat="1" applyFont="1" applyFill="1" applyBorder="1" applyAlignment="1" applyProtection="1">
      <alignment horizontal="left" indent="8"/>
      <protection/>
    </xf>
    <xf numFmtId="4" fontId="3" fillId="37" borderId="10" xfId="0" applyNumberFormat="1" applyFont="1" applyFill="1" applyBorder="1" applyAlignment="1" applyProtection="1">
      <alignment horizontal="left" indent="3"/>
      <protection/>
    </xf>
    <xf numFmtId="4" fontId="3" fillId="37" borderId="0" xfId="0" applyNumberFormat="1" applyFont="1" applyFill="1" applyBorder="1" applyAlignment="1" applyProtection="1">
      <alignment horizontal="left" indent="3"/>
      <protection/>
    </xf>
    <xf numFmtId="4" fontId="29" fillId="37" borderId="0" xfId="0" applyNumberFormat="1" applyFont="1" applyFill="1" applyBorder="1" applyAlignment="1" applyProtection="1">
      <alignment horizontal="left" indent="3"/>
      <protection/>
    </xf>
    <xf numFmtId="4" fontId="5" fillId="37" borderId="0" xfId="0" applyNumberFormat="1" applyFont="1" applyFill="1" applyBorder="1" applyAlignment="1" applyProtection="1">
      <alignment horizontal="left"/>
      <protection/>
    </xf>
    <xf numFmtId="4" fontId="3" fillId="37" borderId="0" xfId="0" applyNumberFormat="1" applyFont="1" applyFill="1" applyBorder="1" applyAlignment="1" applyProtection="1">
      <alignment/>
      <protection/>
    </xf>
    <xf numFmtId="4" fontId="0" fillId="37" borderId="16" xfId="0" applyNumberFormat="1" applyFont="1" applyFill="1" applyBorder="1" applyAlignment="1" applyProtection="1">
      <alignment horizontal="left" indent="3"/>
      <protection/>
    </xf>
    <xf numFmtId="4" fontId="0" fillId="37" borderId="0" xfId="0" applyNumberFormat="1" applyFont="1" applyFill="1" applyBorder="1" applyAlignment="1" applyProtection="1">
      <alignment horizontal="left" indent="2"/>
      <protection/>
    </xf>
    <xf numFmtId="4" fontId="3" fillId="37" borderId="0" xfId="0" applyNumberFormat="1" applyFont="1" applyFill="1" applyBorder="1" applyAlignment="1" applyProtection="1">
      <alignment horizontal="left"/>
      <protection/>
    </xf>
    <xf numFmtId="4" fontId="3" fillId="37" borderId="0" xfId="0" applyNumberFormat="1" applyFont="1" applyFill="1" applyBorder="1" applyAlignment="1" applyProtection="1">
      <alignment horizontal="left" indent="1"/>
      <protection/>
    </xf>
    <xf numFmtId="4" fontId="0" fillId="0" borderId="10" xfId="0" applyNumberFormat="1" applyFont="1" applyFill="1" applyBorder="1" applyAlignment="1" applyProtection="1">
      <alignment horizontal="left" indent="3"/>
      <protection/>
    </xf>
    <xf numFmtId="4" fontId="3" fillId="37" borderId="10" xfId="0" applyNumberFormat="1" applyFont="1" applyFill="1" applyBorder="1" applyAlignment="1" applyProtection="1">
      <alignment horizontal="left" indent="2"/>
      <protection/>
    </xf>
    <xf numFmtId="4" fontId="3" fillId="37" borderId="10" xfId="0" applyNumberFormat="1" applyFont="1" applyFill="1" applyBorder="1" applyAlignment="1" applyProtection="1">
      <alignment horizontal="left"/>
      <protection/>
    </xf>
    <xf numFmtId="4" fontId="0" fillId="37" borderId="0" xfId="0" applyNumberFormat="1" applyFont="1" applyFill="1" applyBorder="1" applyAlignment="1" applyProtection="1">
      <alignment horizontal="left"/>
      <protection/>
    </xf>
    <xf numFmtId="4" fontId="3" fillId="37" borderId="0" xfId="0" applyNumberFormat="1" applyFont="1" applyFill="1" applyBorder="1" applyAlignment="1" applyProtection="1">
      <alignment horizontal="left"/>
      <protection/>
    </xf>
    <xf numFmtId="4" fontId="0" fillId="37" borderId="10" xfId="0" applyNumberFormat="1" applyFont="1" applyFill="1" applyBorder="1" applyAlignment="1" applyProtection="1">
      <alignment horizontal="left" indent="3"/>
      <protection/>
    </xf>
    <xf numFmtId="4" fontId="2" fillId="37" borderId="0" xfId="0" applyNumberFormat="1" applyFont="1" applyFill="1" applyBorder="1" applyAlignment="1" applyProtection="1">
      <alignment horizontal="right"/>
      <protection/>
    </xf>
    <xf numFmtId="4" fontId="0" fillId="37" borderId="0" xfId="0" applyNumberFormat="1" applyFont="1" applyFill="1" applyAlignment="1">
      <alignment/>
    </xf>
    <xf numFmtId="4" fontId="3" fillId="0" borderId="0" xfId="0" applyNumberFormat="1" applyFont="1" applyBorder="1" applyAlignment="1">
      <alignment horizontal="left" indent="1"/>
    </xf>
    <xf numFmtId="4" fontId="0" fillId="0" borderId="0" xfId="4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18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left" indent="1"/>
    </xf>
    <xf numFmtId="4" fontId="0" fillId="0" borderId="0" xfId="0" applyNumberFormat="1" applyFont="1" applyBorder="1" applyAlignment="1">
      <alignment horizontal="right"/>
    </xf>
    <xf numFmtId="4" fontId="0" fillId="0" borderId="0" xfId="42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9" fontId="2" fillId="0" borderId="10" xfId="0" applyNumberFormat="1" applyFont="1" applyFill="1" applyBorder="1" applyAlignment="1" applyProtection="1">
      <alignment/>
      <protection locked="0"/>
    </xf>
    <xf numFmtId="9" fontId="2" fillId="0" borderId="14" xfId="0" applyNumberFormat="1" applyFont="1" applyFill="1" applyBorder="1" applyAlignment="1" applyProtection="1">
      <alignment/>
      <protection locked="0"/>
    </xf>
    <xf numFmtId="1" fontId="4" fillId="37" borderId="0" xfId="42" applyNumberFormat="1" applyFont="1" applyFill="1" applyBorder="1" applyAlignment="1" applyProtection="1">
      <alignment horizontal="right"/>
      <protection/>
    </xf>
    <xf numFmtId="1" fontId="2" fillId="37" borderId="0" xfId="42" applyNumberFormat="1" applyFont="1" applyFill="1" applyBorder="1" applyAlignment="1" applyProtection="1">
      <alignment horizontal="right"/>
      <protection/>
    </xf>
    <xf numFmtId="1" fontId="12" fillId="37" borderId="0" xfId="42" applyNumberFormat="1" applyFont="1" applyFill="1" applyBorder="1" applyAlignment="1" applyProtection="1">
      <alignment horizontal="right"/>
      <protection hidden="1"/>
    </xf>
    <xf numFmtId="1" fontId="2" fillId="37" borderId="0" xfId="0" applyNumberFormat="1" applyFont="1" applyFill="1" applyAlignment="1">
      <alignment horizontal="right"/>
    </xf>
    <xf numFmtId="1" fontId="0" fillId="0" borderId="19" xfId="0" applyNumberFormat="1" applyFont="1" applyBorder="1" applyAlignment="1">
      <alignment horizontal="left" indent="1"/>
    </xf>
    <xf numFmtId="1" fontId="3" fillId="0" borderId="19" xfId="0" applyNumberFormat="1" applyFont="1" applyFill="1" applyBorder="1" applyAlignment="1">
      <alignment horizontal="left" indent="1"/>
    </xf>
    <xf numFmtId="1" fontId="3" fillId="0" borderId="0" xfId="0" applyNumberFormat="1" applyFont="1" applyBorder="1" applyAlignment="1">
      <alignment horizontal="left" indent="1"/>
    </xf>
    <xf numFmtId="1" fontId="3" fillId="0" borderId="0" xfId="0" applyNumberFormat="1" applyFont="1" applyBorder="1" applyAlignment="1">
      <alignment horizontal="right"/>
    </xf>
    <xf numFmtId="1" fontId="0" fillId="0" borderId="0" xfId="42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indent="1"/>
    </xf>
    <xf numFmtId="1" fontId="3" fillId="0" borderId="0" xfId="42" applyNumberFormat="1" applyFont="1" applyBorder="1" applyAlignment="1">
      <alignment/>
    </xf>
    <xf numFmtId="1" fontId="0" fillId="0" borderId="0" xfId="0" applyNumberFormat="1" applyFont="1" applyBorder="1" applyAlignment="1">
      <alignment horizontal="left" indent="1"/>
    </xf>
    <xf numFmtId="1" fontId="0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left" indent="1"/>
    </xf>
    <xf numFmtId="1" fontId="16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left" indent="1"/>
    </xf>
    <xf numFmtId="1" fontId="8" fillId="0" borderId="0" xfId="0" applyNumberFormat="1" applyFont="1" applyBorder="1" applyAlignment="1">
      <alignment horizontal="left" indent="1"/>
    </xf>
    <xf numFmtId="1" fontId="8" fillId="0" borderId="0" xfId="0" applyNumberFormat="1" applyFont="1" applyBorder="1" applyAlignment="1">
      <alignment horizontal="right"/>
    </xf>
    <xf numFmtId="9" fontId="2" fillId="37" borderId="0" xfId="60" applyNumberFormat="1" applyFont="1" applyFill="1" applyAlignment="1">
      <alignment horizontal="right"/>
    </xf>
    <xf numFmtId="14" fontId="4" fillId="37" borderId="0" xfId="0" applyNumberFormat="1" applyFont="1" applyFill="1" applyAlignment="1" applyProtection="1">
      <alignment horizontal="left"/>
      <protection/>
    </xf>
    <xf numFmtId="14" fontId="2" fillId="37" borderId="0" xfId="0" applyNumberFormat="1" applyFont="1" applyFill="1" applyAlignment="1">
      <alignment/>
    </xf>
    <xf numFmtId="176" fontId="2" fillId="37" borderId="0" xfId="0" applyNumberFormat="1" applyFont="1" applyFill="1" applyBorder="1" applyAlignment="1" applyProtection="1">
      <alignment horizontal="right"/>
      <protection/>
    </xf>
    <xf numFmtId="3" fontId="20" fillId="37" borderId="10" xfId="42" applyNumberFormat="1" applyFont="1" applyFill="1" applyBorder="1" applyAlignment="1" applyProtection="1">
      <alignment horizontal="right"/>
      <protection hidden="1"/>
    </xf>
    <xf numFmtId="3" fontId="21" fillId="37" borderId="10" xfId="42" applyNumberFormat="1" applyFont="1" applyFill="1" applyBorder="1" applyAlignment="1" applyProtection="1">
      <alignment horizontal="right"/>
      <protection hidden="1"/>
    </xf>
    <xf numFmtId="3" fontId="12" fillId="37" borderId="10" xfId="42" applyNumberFormat="1" applyFont="1" applyFill="1" applyBorder="1" applyAlignment="1" applyProtection="1">
      <alignment horizontal="right"/>
      <protection hidden="1"/>
    </xf>
    <xf numFmtId="3" fontId="20" fillId="37" borderId="11" xfId="42" applyNumberFormat="1" applyFont="1" applyFill="1" applyBorder="1" applyAlignment="1" applyProtection="1">
      <alignment horizontal="right"/>
      <protection hidden="1"/>
    </xf>
    <xf numFmtId="3" fontId="2" fillId="37" borderId="0" xfId="42" applyNumberFormat="1" applyFont="1" applyFill="1" applyBorder="1" applyAlignment="1" applyProtection="1">
      <alignment horizontal="right"/>
      <protection/>
    </xf>
    <xf numFmtId="3" fontId="20" fillId="37" borderId="20" xfId="42" applyNumberFormat="1" applyFont="1" applyFill="1" applyBorder="1" applyAlignment="1" applyProtection="1">
      <alignment horizontal="right"/>
      <protection hidden="1"/>
    </xf>
    <xf numFmtId="3" fontId="20" fillId="37" borderId="21" xfId="42" applyNumberFormat="1" applyFont="1" applyFill="1" applyBorder="1" applyAlignment="1" applyProtection="1">
      <alignment horizontal="right"/>
      <protection hidden="1"/>
    </xf>
    <xf numFmtId="3" fontId="12" fillId="37" borderId="11" xfId="42" applyNumberFormat="1" applyFont="1" applyFill="1" applyBorder="1" applyAlignment="1" applyProtection="1">
      <alignment horizontal="right"/>
      <protection hidden="1"/>
    </xf>
    <xf numFmtId="3" fontId="2" fillId="37" borderId="0" xfId="42" applyNumberFormat="1" applyFont="1" applyFill="1" applyBorder="1" applyAlignment="1" applyProtection="1">
      <alignment horizontal="right"/>
      <protection/>
    </xf>
    <xf numFmtId="3" fontId="4" fillId="37" borderId="0" xfId="42" applyNumberFormat="1" applyFont="1" applyFill="1" applyBorder="1" applyAlignment="1" applyProtection="1">
      <alignment horizontal="right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3" fontId="18" fillId="0" borderId="19" xfId="42" applyNumberFormat="1" applyFont="1" applyBorder="1" applyAlignment="1" applyProtection="1">
      <alignment/>
      <protection hidden="1"/>
    </xf>
    <xf numFmtId="3" fontId="0" fillId="0" borderId="19" xfId="42" applyNumberFormat="1" applyFont="1" applyBorder="1" applyAlignment="1" applyProtection="1">
      <alignment/>
      <protection locked="0"/>
    </xf>
    <xf numFmtId="3" fontId="5" fillId="0" borderId="19" xfId="42" applyNumberFormat="1" applyFont="1" applyBorder="1" applyAlignment="1" applyProtection="1">
      <alignment horizontal="right"/>
      <protection hidden="1"/>
    </xf>
    <xf numFmtId="3" fontId="5" fillId="0" borderId="19" xfId="42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>
      <alignment horizontal="right"/>
    </xf>
    <xf numFmtId="3" fontId="0" fillId="0" borderId="0" xfId="42" applyNumberFormat="1" applyFont="1" applyBorder="1" applyAlignment="1">
      <alignment/>
    </xf>
    <xf numFmtId="3" fontId="5" fillId="0" borderId="0" xfId="42" applyNumberFormat="1" applyFont="1" applyBorder="1" applyAlignment="1" applyProtection="1">
      <alignment horizontal="right"/>
      <protection hidden="1"/>
    </xf>
    <xf numFmtId="3" fontId="16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center" wrapText="1"/>
    </xf>
    <xf numFmtId="183" fontId="3" fillId="0" borderId="0" xfId="0" applyNumberFormat="1" applyFont="1" applyBorder="1" applyAlignment="1" applyProtection="1">
      <alignment horizontal="center"/>
      <protection locked="0"/>
    </xf>
    <xf numFmtId="17" fontId="2" fillId="0" borderId="10" xfId="0" applyNumberFormat="1" applyFont="1" applyBorder="1" applyAlignment="1" applyProtection="1">
      <alignment/>
      <protection/>
    </xf>
    <xf numFmtId="4" fontId="2" fillId="37" borderId="0" xfId="0" applyNumberFormat="1" applyFont="1" applyFill="1" applyAlignment="1" applyProtection="1">
      <alignment/>
      <protection/>
    </xf>
    <xf numFmtId="1" fontId="2" fillId="37" borderId="0" xfId="0" applyNumberFormat="1" applyFont="1" applyFill="1" applyBorder="1" applyAlignment="1" applyProtection="1">
      <alignment horizontal="right"/>
      <protection/>
    </xf>
    <xf numFmtId="1" fontId="23" fillId="37" borderId="0" xfId="0" applyNumberFormat="1" applyFont="1" applyFill="1" applyBorder="1" applyAlignment="1" applyProtection="1">
      <alignment horizontal="right"/>
      <protection/>
    </xf>
    <xf numFmtId="1" fontId="2" fillId="37" borderId="0" xfId="0" applyNumberFormat="1" applyFont="1" applyFill="1" applyBorder="1" applyAlignment="1">
      <alignment horizontal="right"/>
    </xf>
    <xf numFmtId="1" fontId="2" fillId="37" borderId="0" xfId="0" applyNumberFormat="1" applyFont="1" applyFill="1" applyBorder="1" applyAlignment="1">
      <alignment/>
    </xf>
    <xf numFmtId="1" fontId="2" fillId="37" borderId="0" xfId="0" applyNumberFormat="1" applyFont="1" applyFill="1" applyAlignment="1">
      <alignment/>
    </xf>
    <xf numFmtId="1" fontId="2" fillId="37" borderId="0" xfId="0" applyNumberFormat="1" applyFont="1" applyFill="1" applyAlignment="1" applyProtection="1">
      <alignment horizontal="right"/>
      <protection hidden="1"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/>
    </xf>
    <xf numFmtId="3" fontId="2" fillId="0" borderId="22" xfId="0" applyNumberFormat="1" applyFont="1" applyFill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/>
      <protection/>
    </xf>
    <xf numFmtId="3" fontId="2" fillId="0" borderId="22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/>
      <protection/>
    </xf>
    <xf numFmtId="1" fontId="2" fillId="0" borderId="22" xfId="0" applyNumberFormat="1" applyFont="1" applyBorder="1" applyAlignment="1" applyProtection="1">
      <alignment/>
      <protection locked="0"/>
    </xf>
    <xf numFmtId="1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9" fontId="79" fillId="37" borderId="0" xfId="60" applyFont="1" applyFill="1" applyBorder="1" applyAlignment="1" applyProtection="1">
      <alignment horizontal="right"/>
      <protection/>
    </xf>
    <xf numFmtId="9" fontId="20" fillId="37" borderId="10" xfId="42" applyNumberFormat="1" applyFont="1" applyFill="1" applyBorder="1" applyAlignment="1" applyProtection="1">
      <alignment horizontal="right"/>
      <protection hidden="1"/>
    </xf>
    <xf numFmtId="9" fontId="11" fillId="37" borderId="11" xfId="42" applyNumberFormat="1" applyFont="1" applyFill="1" applyBorder="1" applyAlignment="1" applyProtection="1">
      <alignment horizontal="right"/>
      <protection hidden="1"/>
    </xf>
    <xf numFmtId="4" fontId="3" fillId="0" borderId="10" xfId="0" applyNumberFormat="1" applyFont="1" applyFill="1" applyBorder="1" applyAlignment="1" applyProtection="1">
      <alignment horizontal="left" indent="3"/>
      <protection/>
    </xf>
    <xf numFmtId="3" fontId="12" fillId="0" borderId="10" xfId="42" applyNumberFormat="1" applyFont="1" applyFill="1" applyBorder="1" applyAlignment="1" applyProtection="1">
      <alignment horizontal="right"/>
      <protection hidden="1"/>
    </xf>
    <xf numFmtId="9" fontId="79" fillId="37" borderId="0" xfId="60" applyFont="1" applyFill="1" applyBorder="1" applyAlignment="1" applyProtection="1">
      <alignment horizontal="center"/>
      <protection/>
    </xf>
    <xf numFmtId="4" fontId="4" fillId="37" borderId="1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1" fontId="0" fillId="16" borderId="0" xfId="0" applyNumberFormat="1" applyFill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/>
      <protection locked="0"/>
    </xf>
    <xf numFmtId="4" fontId="81" fillId="37" borderId="0" xfId="42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 horizontal="left" wrapText="1"/>
      <protection/>
    </xf>
    <xf numFmtId="4" fontId="12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left" wrapText="1" indent="3"/>
      <protection/>
    </xf>
    <xf numFmtId="4" fontId="2" fillId="0" borderId="0" xfId="0" applyNumberFormat="1" applyFont="1" applyFill="1" applyAlignment="1" applyProtection="1">
      <alignment/>
      <protection hidden="1"/>
    </xf>
    <xf numFmtId="4" fontId="2" fillId="0" borderId="0" xfId="0" applyNumberFormat="1" applyFont="1" applyFill="1" applyAlignment="1" applyProtection="1">
      <alignment horizontal="right"/>
      <protection hidden="1"/>
    </xf>
    <xf numFmtId="3" fontId="20" fillId="0" borderId="10" xfId="42" applyNumberFormat="1" applyFont="1" applyFill="1" applyBorder="1" applyAlignment="1" applyProtection="1">
      <alignment horizontal="right"/>
      <protection hidden="1"/>
    </xf>
    <xf numFmtId="3" fontId="2" fillId="0" borderId="0" xfId="42" applyNumberFormat="1" applyFont="1" applyFill="1" applyBorder="1" applyAlignment="1" applyProtection="1">
      <alignment horizontal="right"/>
      <protection/>
    </xf>
    <xf numFmtId="3" fontId="18" fillId="0" borderId="19" xfId="42" applyNumberFormat="1" applyFont="1" applyFill="1" applyBorder="1" applyAlignment="1" applyProtection="1">
      <alignment/>
      <protection hidden="1"/>
    </xf>
    <xf numFmtId="1" fontId="0" fillId="0" borderId="0" xfId="42" applyNumberFormat="1" applyFont="1" applyFill="1" applyBorder="1" applyAlignment="1">
      <alignment/>
    </xf>
    <xf numFmtId="3" fontId="5" fillId="0" borderId="0" xfId="42" applyNumberFormat="1" applyFont="1" applyFill="1" applyBorder="1" applyAlignment="1" applyProtection="1">
      <alignment/>
      <protection hidden="1"/>
    </xf>
    <xf numFmtId="3" fontId="19" fillId="0" borderId="19" xfId="42" applyNumberFormat="1" applyFont="1" applyFill="1" applyBorder="1" applyAlignment="1" applyProtection="1">
      <alignment/>
      <protection hidden="1"/>
    </xf>
    <xf numFmtId="3" fontId="5" fillId="0" borderId="19" xfId="42" applyNumberFormat="1" applyFont="1" applyFill="1" applyBorder="1" applyAlignment="1" applyProtection="1">
      <alignment/>
      <protection hidden="1"/>
    </xf>
    <xf numFmtId="3" fontId="0" fillId="0" borderId="0" xfId="42" applyNumberFormat="1" applyFont="1" applyFill="1" applyBorder="1" applyAlignment="1">
      <alignment/>
    </xf>
    <xf numFmtId="0" fontId="3" fillId="0" borderId="0" xfId="0" applyFont="1" applyAlignment="1">
      <alignment wrapText="1"/>
    </xf>
    <xf numFmtId="178" fontId="82" fillId="0" borderId="0" xfId="48" applyNumberFormat="1" applyFont="1" applyFill="1" applyAlignment="1" applyProtection="1">
      <alignment horizontal="center"/>
      <protection/>
    </xf>
    <xf numFmtId="178" fontId="82" fillId="0" borderId="0" xfId="48" applyNumberFormat="1" applyFont="1" applyFill="1" applyAlignment="1" applyProtection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1" fontId="0" fillId="16" borderId="0" xfId="0" applyNumberFormat="1" applyFont="1" applyFill="1" applyAlignment="1" applyProtection="1">
      <alignment horizontal="center"/>
      <protection locked="0"/>
    </xf>
    <xf numFmtId="1" fontId="55" fillId="16" borderId="0" xfId="48" applyNumberFormat="1" applyFont="1" applyFill="1" applyAlignment="1" applyProtection="1">
      <alignment horizontal="center"/>
      <protection locked="0"/>
    </xf>
    <xf numFmtId="0" fontId="55" fillId="16" borderId="0" xfId="48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90" fontId="0" fillId="16" borderId="0" xfId="0" applyNumberFormat="1" applyFill="1" applyAlignment="1" applyProtection="1">
      <alignment horizontal="center"/>
      <protection locked="0"/>
    </xf>
    <xf numFmtId="175" fontId="2" fillId="0" borderId="10" xfId="0" applyNumberFormat="1" applyFont="1" applyFill="1" applyBorder="1" applyAlignment="1" applyProtection="1">
      <alignment/>
      <protection locked="0"/>
    </xf>
    <xf numFmtId="4" fontId="83" fillId="37" borderId="10" xfId="0" applyNumberFormat="1" applyFont="1" applyFill="1" applyBorder="1" applyAlignment="1" applyProtection="1">
      <alignment horizontal="left" indent="3"/>
      <protection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84" fillId="0" borderId="0" xfId="60" applyNumberFormat="1" applyFont="1" applyAlignment="1">
      <alignment wrapText="1"/>
    </xf>
    <xf numFmtId="3" fontId="0" fillId="0" borderId="0" xfId="0" applyNumberFormat="1" applyAlignment="1">
      <alignment/>
    </xf>
    <xf numFmtId="201" fontId="0" fillId="0" borderId="0" xfId="0" applyNumberFormat="1" applyAlignment="1">
      <alignment/>
    </xf>
    <xf numFmtId="190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85" fillId="0" borderId="0" xfId="0" applyNumberFormat="1" applyFont="1" applyAlignment="1">
      <alignment/>
    </xf>
    <xf numFmtId="3" fontId="55" fillId="16" borderId="0" xfId="48" applyNumberFormat="1" applyFont="1" applyFill="1" applyAlignment="1" applyProtection="1">
      <alignment horizontal="center"/>
      <protection locked="0"/>
    </xf>
    <xf numFmtId="189" fontId="58" fillId="16" borderId="0" xfId="48" applyNumberFormat="1" applyFont="1" applyFill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3" fontId="15" fillId="0" borderId="19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 vertical="center"/>
    </xf>
    <xf numFmtId="2" fontId="11" fillId="0" borderId="10" xfId="0" applyNumberFormat="1" applyFont="1" applyFill="1" applyBorder="1" applyAlignment="1" applyProtection="1">
      <alignment horizontal="right"/>
      <protection hidden="1"/>
    </xf>
    <xf numFmtId="2" fontId="2" fillId="37" borderId="0" xfId="0" applyNumberFormat="1" applyFont="1" applyFill="1" applyBorder="1" applyAlignment="1" applyProtection="1">
      <alignment horizontal="right"/>
      <protection/>
    </xf>
    <xf numFmtId="2" fontId="27" fillId="37" borderId="11" xfId="42" applyNumberFormat="1" applyFont="1" applyFill="1" applyBorder="1" applyAlignment="1" applyProtection="1">
      <alignment horizontal="right"/>
      <protection hidden="1"/>
    </xf>
    <xf numFmtId="2" fontId="9" fillId="37" borderId="0" xfId="0" applyNumberFormat="1" applyFont="1" applyFill="1" applyBorder="1" applyAlignment="1" applyProtection="1">
      <alignment horizontal="right"/>
      <protection/>
    </xf>
    <xf numFmtId="2" fontId="11" fillId="37" borderId="11" xfId="42" applyNumberFormat="1" applyFont="1" applyFill="1" applyBorder="1" applyAlignment="1" applyProtection="1">
      <alignment horizontal="right"/>
      <protection hidden="1"/>
    </xf>
    <xf numFmtId="2" fontId="11" fillId="37" borderId="11" xfId="42" applyNumberFormat="1" applyFont="1" applyFill="1" applyBorder="1" applyAlignment="1" applyProtection="1">
      <alignment horizontal="right"/>
      <protection hidden="1"/>
    </xf>
    <xf numFmtId="2" fontId="11" fillId="37" borderId="10" xfId="42" applyNumberFormat="1" applyFont="1" applyFill="1" applyBorder="1" applyAlignment="1" applyProtection="1">
      <alignment horizontal="right"/>
      <protection hidden="1"/>
    </xf>
    <xf numFmtId="2" fontId="6" fillId="37" borderId="0" xfId="42" applyNumberFormat="1" applyFont="1" applyFill="1" applyBorder="1" applyAlignment="1" applyProtection="1">
      <alignment horizontal="right"/>
      <protection/>
    </xf>
    <xf numFmtId="2" fontId="11" fillId="37" borderId="10" xfId="42" applyNumberFormat="1" applyFont="1" applyFill="1" applyBorder="1" applyAlignment="1" applyProtection="1">
      <alignment horizontal="right"/>
      <protection hidden="1"/>
    </xf>
    <xf numFmtId="2" fontId="2" fillId="37" borderId="10" xfId="42" applyNumberFormat="1" applyFont="1" applyFill="1" applyBorder="1" applyAlignment="1" applyProtection="1">
      <alignment horizontal="right"/>
      <protection locked="0"/>
    </xf>
    <xf numFmtId="2" fontId="4" fillId="37" borderId="0" xfId="42" applyNumberFormat="1" applyFont="1" applyFill="1" applyBorder="1" applyAlignment="1" applyProtection="1">
      <alignment horizontal="right"/>
      <protection/>
    </xf>
    <xf numFmtId="2" fontId="2" fillId="37" borderId="0" xfId="42" applyNumberFormat="1" applyFont="1" applyFill="1" applyBorder="1" applyAlignment="1" applyProtection="1">
      <alignment horizontal="right"/>
      <protection/>
    </xf>
    <xf numFmtId="2" fontId="11" fillId="37" borderId="0" xfId="42" applyNumberFormat="1" applyFont="1" applyFill="1" applyBorder="1" applyAlignment="1" applyProtection="1">
      <alignment horizontal="right"/>
      <protection hidden="1"/>
    </xf>
    <xf numFmtId="2" fontId="2" fillId="37" borderId="0" xfId="42" applyNumberFormat="1" applyFont="1" applyFill="1" applyBorder="1" applyAlignment="1" applyProtection="1">
      <alignment horizontal="right"/>
      <protection locked="0"/>
    </xf>
    <xf numFmtId="2" fontId="11" fillId="37" borderId="17" xfId="42" applyNumberFormat="1" applyFont="1" applyFill="1" applyBorder="1" applyAlignment="1" applyProtection="1">
      <alignment horizontal="right"/>
      <protection hidden="1"/>
    </xf>
    <xf numFmtId="2" fontId="81" fillId="37" borderId="0" xfId="42" applyNumberFormat="1" applyFont="1" applyFill="1" applyBorder="1" applyAlignment="1" applyProtection="1">
      <alignment horizontal="right"/>
      <protection/>
    </xf>
    <xf numFmtId="2" fontId="2" fillId="37" borderId="0" xfId="0" applyNumberFormat="1" applyFont="1" applyFill="1" applyAlignment="1" applyProtection="1">
      <alignment horizontal="right"/>
      <protection/>
    </xf>
    <xf numFmtId="2" fontId="2" fillId="37" borderId="0" xfId="0" applyNumberFormat="1" applyFont="1" applyFill="1" applyAlignment="1" applyProtection="1">
      <alignment horizontal="right"/>
      <protection locked="0"/>
    </xf>
    <xf numFmtId="2" fontId="11" fillId="37" borderId="0" xfId="42" applyNumberFormat="1" applyFont="1" applyFill="1" applyBorder="1" applyAlignment="1" applyProtection="1">
      <alignment horizontal="right"/>
      <protection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1" fontId="3" fillId="0" borderId="27" xfId="0" applyNumberFormat="1" applyFont="1" applyBorder="1" applyAlignment="1">
      <alignment horizontal="left"/>
    </xf>
    <xf numFmtId="1" fontId="3" fillId="0" borderId="28" xfId="0" applyNumberFormat="1" applyFont="1" applyBorder="1" applyAlignment="1">
      <alignment horizontal="left"/>
    </xf>
    <xf numFmtId="1" fontId="3" fillId="0" borderId="29" xfId="0" applyNumberFormat="1" applyFont="1" applyBorder="1" applyAlignment="1">
      <alignment horizontal="left"/>
    </xf>
    <xf numFmtId="1" fontId="3" fillId="0" borderId="30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38100</xdr:rowOff>
    </xdr:from>
    <xdr:to>
      <xdr:col>10</xdr:col>
      <xdr:colOff>447675</xdr:colOff>
      <xdr:row>0</xdr:row>
      <xdr:rowOff>914400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00" y="38100"/>
          <a:ext cx="34099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Finantsprognooside tabel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Kinnitatud Põllumajanduse Registrite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 Informatsiooni Ameti peadirektori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04.01.2017 käskkirjaga nr  1-12/17/1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2638425</xdr:colOff>
      <xdr:row>0</xdr:row>
      <xdr:rowOff>838200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69.57421875" style="0" customWidth="1"/>
    <col min="2" max="2" width="21.00390625" style="4" customWidth="1"/>
    <col min="3" max="3" width="24.421875" style="4" customWidth="1"/>
    <col min="4" max="4" width="25.8515625" style="4" customWidth="1"/>
    <col min="5" max="5" width="29.28125" style="2" customWidth="1"/>
  </cols>
  <sheetData>
    <row r="1" spans="1:5" ht="78.75" customHeight="1">
      <c r="A1" s="5"/>
      <c r="B1" s="230" t="s">
        <v>63</v>
      </c>
      <c r="C1" s="230" t="s">
        <v>64</v>
      </c>
      <c r="D1" s="230" t="s">
        <v>65</v>
      </c>
      <c r="E1" s="231" t="s">
        <v>117</v>
      </c>
    </row>
    <row r="2" spans="1:5" ht="12.75">
      <c r="A2" s="5" t="s">
        <v>125</v>
      </c>
      <c r="B2" s="228" t="s">
        <v>182</v>
      </c>
      <c r="C2" s="228" t="s">
        <v>182</v>
      </c>
      <c r="D2" s="228" t="s">
        <v>182</v>
      </c>
      <c r="E2" s="228" t="s">
        <v>182</v>
      </c>
    </row>
    <row r="3" spans="1:5" ht="12.75">
      <c r="A3" s="5" t="s">
        <v>119</v>
      </c>
      <c r="B3" s="227"/>
      <c r="C3" s="227"/>
      <c r="D3" s="227"/>
      <c r="E3" s="227"/>
    </row>
    <row r="4" spans="1:5" ht="12.75">
      <c r="A4" s="5" t="s">
        <v>69</v>
      </c>
      <c r="B4" s="258"/>
      <c r="C4" s="258"/>
      <c r="D4" s="258"/>
      <c r="E4" s="258"/>
    </row>
    <row r="5" spans="1:5" ht="12.75">
      <c r="A5" s="5" t="s">
        <v>68</v>
      </c>
      <c r="B5" s="258"/>
      <c r="C5" s="258"/>
      <c r="D5" s="258"/>
      <c r="E5" s="258"/>
    </row>
    <row r="6" spans="1:5" s="7" customFormat="1" ht="12.75">
      <c r="A6" s="46" t="s">
        <v>163</v>
      </c>
      <c r="B6" s="254"/>
      <c r="C6" s="254"/>
      <c r="D6" s="254"/>
      <c r="E6" s="254"/>
    </row>
    <row r="7" spans="1:5" s="7" customFormat="1" ht="15">
      <c r="A7" s="226" t="s">
        <v>199</v>
      </c>
      <c r="B7" s="255"/>
      <c r="C7" s="255"/>
      <c r="D7" s="255"/>
      <c r="E7" s="256"/>
    </row>
    <row r="8" spans="1:5" s="5" customFormat="1" ht="15">
      <c r="A8" s="257" t="s">
        <v>219</v>
      </c>
      <c r="B8" s="269"/>
      <c r="C8" s="269"/>
      <c r="D8" s="269"/>
      <c r="E8" s="269"/>
    </row>
    <row r="9" spans="1:5" s="5" customFormat="1" ht="15">
      <c r="A9" s="5" t="s">
        <v>200</v>
      </c>
      <c r="B9" s="270"/>
      <c r="C9" s="248"/>
      <c r="D9" s="248"/>
      <c r="E9" s="249"/>
    </row>
    <row r="10" spans="1:5" s="5" customFormat="1" ht="12.75">
      <c r="A10" s="5" t="s">
        <v>214</v>
      </c>
      <c r="B10" s="271">
        <v>0.06</v>
      </c>
      <c r="C10" s="8"/>
      <c r="D10" s="8"/>
      <c r="E10" s="9"/>
    </row>
    <row r="11" spans="1:5" s="5" customFormat="1" ht="12.75">
      <c r="A11" s="5" t="s">
        <v>215</v>
      </c>
      <c r="B11" s="271">
        <v>0.15</v>
      </c>
      <c r="C11" s="8"/>
      <c r="D11" s="8"/>
      <c r="E11" s="9"/>
    </row>
    <row r="12" spans="2:4" s="5" customFormat="1" ht="12.75">
      <c r="B12" s="3"/>
      <c r="C12" s="3"/>
      <c r="D12" s="3"/>
    </row>
    <row r="13" spans="1:4" ht="15">
      <c r="A13" s="6" t="s">
        <v>113</v>
      </c>
      <c r="B13" s="3"/>
      <c r="C13" s="3"/>
      <c r="D13" s="3"/>
    </row>
    <row r="14" ht="12.75">
      <c r="A14" t="s">
        <v>178</v>
      </c>
    </row>
    <row r="15" ht="25.5">
      <c r="A15" s="215" t="s">
        <v>180</v>
      </c>
    </row>
    <row r="16" ht="25.5">
      <c r="A16" s="215" t="s">
        <v>213</v>
      </c>
    </row>
    <row r="17" ht="29.25" customHeight="1">
      <c r="A17" s="253" t="s">
        <v>218</v>
      </c>
    </row>
    <row r="18" ht="15" customHeight="1">
      <c r="A18" t="s">
        <v>132</v>
      </c>
    </row>
    <row r="19" ht="25.5">
      <c r="A19" s="1" t="s">
        <v>148</v>
      </c>
    </row>
    <row r="20" ht="12.75">
      <c r="A20" s="215" t="s">
        <v>226</v>
      </c>
    </row>
    <row r="21" ht="25.5">
      <c r="A21" s="215" t="s">
        <v>225</v>
      </c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</sheetData>
  <sheetProtection password="C868" sheet="1"/>
  <dataValidations count="5">
    <dataValidation type="textLength" allowBlank="1" showInputMessage="1" showErrorMessage="1" promptTitle="Sisestada valikväärtus " error="valik saab olla ainult &quot;jah&quot; või &quot;ei&quot;" sqref="B2:E2">
      <formula1>2</formula1>
      <formula2>3</formula2>
    </dataValidation>
    <dataValidation type="whole" allowBlank="1" showInputMessage="1" showErrorMessage="1" error="Summa saab olla ainult täisarv vahemikus 1-100" sqref="B3:E3 B6:E6">
      <formula1>1</formula1>
      <formula2>100</formula2>
    </dataValidation>
    <dataValidation type="decimal" allowBlank="1" showInputMessage="1" showErrorMessage="1" error="Protsent saab olla vahemikus 1-30" sqref="B4:E5">
      <formula1>1</formula1>
      <formula2>30</formula2>
    </dataValidation>
    <dataValidation allowBlank="1" showInputMessage="1" showErrorMessage="1" error="Protsent saab olla vahemikus 1-30" sqref="B11"/>
    <dataValidation allowBlank="1" showInputMessage="1" showErrorMessage="1" error="Protsent saab olla vahemikus 1-30" sqref="B10"/>
  </dataValidations>
  <printOptions/>
  <pageMargins left="0.7480314960629921" right="0.7480314960629921" top="0.984251968503937" bottom="0.984251968503937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1"/>
  <sheetViews>
    <sheetView view="pageBreakPreview" zoomScale="80" zoomScaleSheetLayoutView="80" zoomScalePageLayoutView="0" workbookViewId="0" topLeftCell="A1">
      <pane xSplit="4" ySplit="11" topLeftCell="E30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N19" sqref="N19"/>
    </sheetView>
  </sheetViews>
  <sheetFormatPr defaultColWidth="9.140625" defaultRowHeight="15.75" customHeight="1"/>
  <cols>
    <col min="1" max="1" width="7.421875" style="16" customWidth="1"/>
    <col min="2" max="2" width="15.421875" style="16" customWidth="1"/>
    <col min="3" max="3" width="15.00390625" style="16" customWidth="1"/>
    <col min="4" max="4" width="25.7109375" style="37" customWidth="1"/>
    <col min="5" max="5" width="7.421875" style="45" customWidth="1"/>
    <col min="6" max="6" width="24.28125" style="16" customWidth="1"/>
    <col min="7" max="7" width="33.421875" style="16" customWidth="1"/>
    <col min="8" max="8" width="34.7109375" style="16" customWidth="1"/>
    <col min="9" max="9" width="29.421875" style="16" customWidth="1"/>
    <col min="10" max="10" width="34.7109375" style="16" customWidth="1"/>
    <col min="11" max="11" width="32.7109375" style="16" customWidth="1"/>
    <col min="12" max="12" width="36.00390625" style="16" customWidth="1"/>
    <col min="13" max="13" width="28.8515625" style="16" customWidth="1"/>
    <col min="14" max="14" width="33.28125" style="16" customWidth="1"/>
    <col min="15" max="15" width="31.57421875" style="16" customWidth="1"/>
    <col min="16" max="16" width="34.140625" style="16" customWidth="1"/>
    <col min="17" max="17" width="36.140625" style="16" customWidth="1"/>
    <col min="18" max="18" width="32.57421875" style="38" customWidth="1"/>
    <col min="19" max="19" width="35.57421875" style="16" customWidth="1"/>
    <col min="20" max="20" width="33.7109375" style="16" customWidth="1"/>
    <col min="21" max="21" width="31.7109375" style="16" customWidth="1"/>
    <col min="22" max="22" width="14.140625" style="16" customWidth="1"/>
    <col min="23" max="23" width="24.140625" style="16" customWidth="1"/>
    <col min="24" max="24" width="28.8515625" style="16" customWidth="1"/>
    <col min="25" max="25" width="29.421875" style="16" customWidth="1"/>
    <col min="26" max="26" width="36.421875" style="16" customWidth="1"/>
    <col min="27" max="27" width="35.7109375" style="16" customWidth="1"/>
    <col min="28" max="28" width="25.7109375" style="16" customWidth="1"/>
    <col min="29" max="29" width="27.140625" style="16" customWidth="1"/>
    <col min="30" max="30" width="27.8515625" style="16" customWidth="1"/>
    <col min="31" max="31" width="17.57421875" style="16" customWidth="1"/>
    <col min="32" max="32" width="23.7109375" style="16" customWidth="1"/>
    <col min="33" max="33" width="24.7109375" style="16" customWidth="1"/>
    <col min="34" max="34" width="21.421875" style="16" customWidth="1"/>
    <col min="35" max="35" width="23.8515625" style="16" customWidth="1"/>
    <col min="36" max="36" width="19.57421875" style="16" customWidth="1"/>
    <col min="37" max="37" width="36.00390625" style="16" customWidth="1"/>
    <col min="38" max="38" width="46.57421875" style="16" customWidth="1"/>
    <col min="39" max="39" width="53.421875" style="16" customWidth="1"/>
    <col min="40" max="40" width="9.140625" style="16" customWidth="1"/>
    <col min="41" max="16384" width="9.140625" style="16" customWidth="1"/>
  </cols>
  <sheetData>
    <row r="1" spans="1:74" ht="24" customHeight="1">
      <c r="A1" s="10" t="s">
        <v>126</v>
      </c>
      <c r="B1" s="302" t="s">
        <v>154</v>
      </c>
      <c r="C1" s="303"/>
      <c r="D1" s="304"/>
      <c r="E1" s="39" t="s">
        <v>144</v>
      </c>
      <c r="F1" s="11" t="s">
        <v>227</v>
      </c>
      <c r="G1" s="11" t="s">
        <v>228</v>
      </c>
      <c r="H1" s="11" t="s">
        <v>229</v>
      </c>
      <c r="I1" s="11" t="s">
        <v>230</v>
      </c>
      <c r="J1" s="11" t="s">
        <v>231</v>
      </c>
      <c r="K1" s="11" t="s">
        <v>232</v>
      </c>
      <c r="L1" s="11" t="s">
        <v>233</v>
      </c>
      <c r="M1" s="11" t="s">
        <v>234</v>
      </c>
      <c r="N1" s="11" t="s">
        <v>235</v>
      </c>
      <c r="O1" s="11" t="s">
        <v>236</v>
      </c>
      <c r="P1" s="11" t="s">
        <v>237</v>
      </c>
      <c r="Q1" s="11" t="s">
        <v>238</v>
      </c>
      <c r="R1" s="272" t="s">
        <v>239</v>
      </c>
      <c r="S1" s="273" t="s">
        <v>239</v>
      </c>
      <c r="T1" s="273" t="s">
        <v>239</v>
      </c>
      <c r="U1" s="273" t="s">
        <v>239</v>
      </c>
      <c r="V1" s="12"/>
      <c r="W1" s="13" t="s">
        <v>173</v>
      </c>
      <c r="X1" s="14" t="str">
        <f>Kassavood!B2</f>
        <v>jaanuar</v>
      </c>
      <c r="Y1" s="14" t="str">
        <f>Kassavood!C2</f>
        <v>veebruar</v>
      </c>
      <c r="Z1" s="14" t="str">
        <f>Kassavood!D2</f>
        <v>märts</v>
      </c>
      <c r="AA1" s="14" t="str">
        <f>Kassavood!E2</f>
        <v>aprill</v>
      </c>
      <c r="AB1" s="14" t="str">
        <f>Kassavood!F2</f>
        <v>mai</v>
      </c>
      <c r="AC1" s="14" t="str">
        <f>Kassavood!G2</f>
        <v>juuni</v>
      </c>
      <c r="AD1" s="14" t="str">
        <f>Kassavood!H2</f>
        <v>juuli</v>
      </c>
      <c r="AE1" s="14" t="str">
        <f>Kassavood!I2</f>
        <v>august</v>
      </c>
      <c r="AF1" s="14" t="str">
        <f>Kassavood!J2</f>
        <v>september</v>
      </c>
      <c r="AG1" s="14" t="str">
        <f>Kassavood!K2</f>
        <v>oktoober</v>
      </c>
      <c r="AH1" s="14" t="str">
        <f>Kassavood!L2</f>
        <v>november</v>
      </c>
      <c r="AI1" s="14" t="str">
        <f>Kassavood!M2</f>
        <v>detsember</v>
      </c>
      <c r="AJ1" s="15" t="str">
        <f>Kassavood!N2</f>
        <v>20XX</v>
      </c>
      <c r="AK1" s="15" t="str">
        <f>Kassavood!O2</f>
        <v>20XX</v>
      </c>
      <c r="AL1" s="15" t="str">
        <f>Kassavood!P2</f>
        <v>20XX</v>
      </c>
      <c r="AM1" s="15" t="str">
        <f>Kassavood!Q2</f>
        <v>20XX</v>
      </c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</row>
    <row r="2" spans="1:39" ht="15.75" customHeight="1">
      <c r="A2" s="17"/>
      <c r="B2" s="17" t="s">
        <v>130</v>
      </c>
      <c r="C2" s="17"/>
      <c r="D2" s="18"/>
      <c r="E2" s="40">
        <f aca="true" t="shared" si="0" ref="E2:Q2">E12+E17+E22+E27+E32+E37+E42+E47+E52+E57</f>
        <v>17</v>
      </c>
      <c r="F2" s="19">
        <f t="shared" si="0"/>
        <v>0</v>
      </c>
      <c r="G2" s="19">
        <f>G12+G17+G22+G27+G32+G37+G42+G47+G52+G57</f>
        <v>0</v>
      </c>
      <c r="H2" s="19">
        <f t="shared" si="0"/>
        <v>0</v>
      </c>
      <c r="I2" s="19">
        <f t="shared" si="0"/>
        <v>0</v>
      </c>
      <c r="J2" s="19">
        <f t="shared" si="0"/>
        <v>0</v>
      </c>
      <c r="K2" s="19">
        <f t="shared" si="0"/>
        <v>0</v>
      </c>
      <c r="L2" s="19">
        <f t="shared" si="0"/>
        <v>0</v>
      </c>
      <c r="M2" s="19">
        <f t="shared" si="0"/>
        <v>0</v>
      </c>
      <c r="N2" s="19">
        <f t="shared" si="0"/>
        <v>0</v>
      </c>
      <c r="O2" s="19">
        <f t="shared" si="0"/>
        <v>0</v>
      </c>
      <c r="P2" s="19">
        <f t="shared" si="0"/>
        <v>0</v>
      </c>
      <c r="Q2" s="19">
        <f t="shared" si="0"/>
        <v>0</v>
      </c>
      <c r="R2" s="20">
        <f>SUM(F2:Q2)</f>
        <v>0</v>
      </c>
      <c r="S2" s="19">
        <f>S12+S17+S22+S27+S32+S37+S42+S47+S52+S57</f>
        <v>0</v>
      </c>
      <c r="T2" s="19">
        <f>T12+T17+T22+T27+T32+T37+T42+T47+T52+T57</f>
        <v>0</v>
      </c>
      <c r="U2" s="19">
        <f>U12+U17+U22+U27+U32+U37+U42+U47+U52+U57</f>
        <v>0</v>
      </c>
      <c r="W2" s="16">
        <f>IF($B16=9%,E16-E16*E13,0)</f>
        <v>0</v>
      </c>
      <c r="X2" s="16">
        <f aca="true" t="shared" si="1" ref="X2:AI2">IF($B16=9%,F16-F16*F13,0)</f>
        <v>0</v>
      </c>
      <c r="Y2" s="16">
        <f t="shared" si="1"/>
        <v>0</v>
      </c>
      <c r="Z2" s="16">
        <f t="shared" si="1"/>
        <v>0</v>
      </c>
      <c r="AA2" s="16">
        <f t="shared" si="1"/>
        <v>0</v>
      </c>
      <c r="AB2" s="16">
        <f t="shared" si="1"/>
        <v>0</v>
      </c>
      <c r="AC2" s="16">
        <f t="shared" si="1"/>
        <v>0</v>
      </c>
      <c r="AD2" s="16">
        <f t="shared" si="1"/>
        <v>0</v>
      </c>
      <c r="AE2" s="16">
        <f t="shared" si="1"/>
        <v>0</v>
      </c>
      <c r="AF2" s="16">
        <f t="shared" si="1"/>
        <v>0</v>
      </c>
      <c r="AG2" s="16">
        <f t="shared" si="1"/>
        <v>0</v>
      </c>
      <c r="AH2" s="16">
        <f t="shared" si="1"/>
        <v>0</v>
      </c>
      <c r="AI2" s="16">
        <f t="shared" si="1"/>
        <v>0</v>
      </c>
      <c r="AJ2" s="16">
        <f>SUM(X2:AI2)</f>
        <v>0</v>
      </c>
      <c r="AK2" s="16">
        <f>IF($B16=9%,S16-S16*S13,0)</f>
        <v>0</v>
      </c>
      <c r="AL2" s="16">
        <f>IF(Q16=9%,T16-T16*T13,0)</f>
        <v>0</v>
      </c>
      <c r="AM2" s="16">
        <f>IF(R16=9%,U16-U16*U13,0)</f>
        <v>0</v>
      </c>
    </row>
    <row r="3" spans="1:39" ht="15.75" customHeight="1">
      <c r="A3" s="17"/>
      <c r="B3" s="17" t="s">
        <v>205</v>
      </c>
      <c r="C3" s="17"/>
      <c r="D3" s="18"/>
      <c r="E3" s="40">
        <f aca="true" t="shared" si="2" ref="E3:Q3">E16+E21+E26+E31+E36+E41+E46+E51+E56+E61</f>
        <v>69000</v>
      </c>
      <c r="F3" s="19">
        <f t="shared" si="2"/>
        <v>0</v>
      </c>
      <c r="G3" s="19">
        <f t="shared" si="2"/>
        <v>0</v>
      </c>
      <c r="H3" s="19">
        <f t="shared" si="2"/>
        <v>0</v>
      </c>
      <c r="I3" s="19">
        <f t="shared" si="2"/>
        <v>0</v>
      </c>
      <c r="J3" s="19">
        <f t="shared" si="2"/>
        <v>0</v>
      </c>
      <c r="K3" s="19">
        <f t="shared" si="2"/>
        <v>0</v>
      </c>
      <c r="L3" s="19">
        <f t="shared" si="2"/>
        <v>0</v>
      </c>
      <c r="M3" s="19">
        <f t="shared" si="2"/>
        <v>0</v>
      </c>
      <c r="N3" s="19">
        <f t="shared" si="2"/>
        <v>0</v>
      </c>
      <c r="O3" s="19">
        <f t="shared" si="2"/>
        <v>0</v>
      </c>
      <c r="P3" s="19">
        <f t="shared" si="2"/>
        <v>0</v>
      </c>
      <c r="Q3" s="19">
        <f t="shared" si="2"/>
        <v>0</v>
      </c>
      <c r="R3" s="20">
        <f>SUM(F3:Q3)</f>
        <v>0</v>
      </c>
      <c r="S3" s="19">
        <f>S16+S21+S26+S31+S36+S41+S46+S51+S56+S61</f>
        <v>0</v>
      </c>
      <c r="T3" s="19">
        <f>T16+T21+T26+T31+T36+T41+T46+T51+T56+T61</f>
        <v>0</v>
      </c>
      <c r="U3" s="19">
        <f>U16+U21+U26+U31+U36+U41+U46+U51+U56+U61</f>
        <v>0</v>
      </c>
      <c r="W3" s="16">
        <f>IF($B21=9%,E21-E21*E18,0)</f>
        <v>0</v>
      </c>
      <c r="X3" s="16">
        <f aca="true" t="shared" si="3" ref="X3:AI3">IF($B21=9%,F21-F21*F18,0)</f>
        <v>0</v>
      </c>
      <c r="Y3" s="16">
        <f t="shared" si="3"/>
        <v>0</v>
      </c>
      <c r="Z3" s="16">
        <f t="shared" si="3"/>
        <v>0</v>
      </c>
      <c r="AA3" s="16">
        <f t="shared" si="3"/>
        <v>0</v>
      </c>
      <c r="AB3" s="16">
        <f t="shared" si="3"/>
        <v>0</v>
      </c>
      <c r="AC3" s="16">
        <f t="shared" si="3"/>
        <v>0</v>
      </c>
      <c r="AD3" s="16">
        <f t="shared" si="3"/>
        <v>0</v>
      </c>
      <c r="AE3" s="16">
        <f t="shared" si="3"/>
        <v>0</v>
      </c>
      <c r="AF3" s="16">
        <f t="shared" si="3"/>
        <v>0</v>
      </c>
      <c r="AG3" s="16">
        <f t="shared" si="3"/>
        <v>0</v>
      </c>
      <c r="AH3" s="16">
        <f t="shared" si="3"/>
        <v>0</v>
      </c>
      <c r="AI3" s="16">
        <f t="shared" si="3"/>
        <v>0</v>
      </c>
      <c r="AJ3" s="16">
        <f aca="true" t="shared" si="4" ref="AJ3:AJ11">SUM(X3:AI3)</f>
        <v>0</v>
      </c>
      <c r="AK3" s="16">
        <f>IF($B21=9%,S21-S21*S18,0)</f>
        <v>0</v>
      </c>
      <c r="AL3" s="16">
        <f>IF($B21=9%,T21-T21*T18,0)</f>
        <v>0</v>
      </c>
      <c r="AM3" s="16">
        <f>IF($B21=9%,U21-U21*U18,0)</f>
        <v>0</v>
      </c>
    </row>
    <row r="4" spans="1:39" ht="15.75" customHeight="1">
      <c r="A4" s="17"/>
      <c r="B4" s="17" t="s">
        <v>206</v>
      </c>
      <c r="C4" s="17"/>
      <c r="D4" s="18"/>
      <c r="E4" s="40">
        <f>ROUND(E3/E2,0)</f>
        <v>4059</v>
      </c>
      <c r="F4" s="19">
        <f>IF(F2&gt;0,ROUND(F3/F2,0),0)</f>
        <v>0</v>
      </c>
      <c r="G4" s="19">
        <f aca="true" t="shared" si="5" ref="G4:P4">IF(G2&gt;0,ROUND(G3/G2,0),0)</f>
        <v>0</v>
      </c>
      <c r="H4" s="19">
        <f t="shared" si="5"/>
        <v>0</v>
      </c>
      <c r="I4" s="19">
        <f t="shared" si="5"/>
        <v>0</v>
      </c>
      <c r="J4" s="19">
        <f t="shared" si="5"/>
        <v>0</v>
      </c>
      <c r="K4" s="19">
        <f t="shared" si="5"/>
        <v>0</v>
      </c>
      <c r="L4" s="19">
        <f t="shared" si="5"/>
        <v>0</v>
      </c>
      <c r="M4" s="19">
        <f t="shared" si="5"/>
        <v>0</v>
      </c>
      <c r="N4" s="19">
        <f t="shared" si="5"/>
        <v>0</v>
      </c>
      <c r="O4" s="19">
        <f t="shared" si="5"/>
        <v>0</v>
      </c>
      <c r="P4" s="19">
        <f t="shared" si="5"/>
        <v>0</v>
      </c>
      <c r="Q4" s="19">
        <f>IF(Q2&gt;0,ROUND(Q3/Q2,0),0)</f>
        <v>0</v>
      </c>
      <c r="R4" s="20">
        <f>IF(R2&gt;0,ROUND(R3/R2,0),0)</f>
        <v>0</v>
      </c>
      <c r="S4" s="19">
        <f>IF(S2&gt;0,ROUND(S3/S2,0),0)</f>
        <v>0</v>
      </c>
      <c r="T4" s="19">
        <f>IF(T2&gt;0,ROUND(T3/T2,0),0)</f>
        <v>0</v>
      </c>
      <c r="U4" s="19">
        <f>IF(U2&gt;0,ROUND(U3/U2,0),0)</f>
        <v>0</v>
      </c>
      <c r="W4" s="16">
        <f>IF($B26=9%,E26-E26*E23,0)</f>
        <v>0</v>
      </c>
      <c r="X4" s="16">
        <f>IF($B26=9%,F26-F26*F23,0)</f>
        <v>0</v>
      </c>
      <c r="Y4" s="16">
        <f aca="true" t="shared" si="6" ref="Y4:AI4">IF($B26=9%,G26-G26*G23,0)</f>
        <v>0</v>
      </c>
      <c r="Z4" s="16">
        <f t="shared" si="6"/>
        <v>0</v>
      </c>
      <c r="AA4" s="16">
        <f t="shared" si="6"/>
        <v>0</v>
      </c>
      <c r="AB4" s="16">
        <f t="shared" si="6"/>
        <v>0</v>
      </c>
      <c r="AC4" s="16">
        <f t="shared" si="6"/>
        <v>0</v>
      </c>
      <c r="AD4" s="16">
        <f t="shared" si="6"/>
        <v>0</v>
      </c>
      <c r="AE4" s="16">
        <f t="shared" si="6"/>
        <v>0</v>
      </c>
      <c r="AF4" s="16">
        <f t="shared" si="6"/>
        <v>0</v>
      </c>
      <c r="AG4" s="16">
        <f t="shared" si="6"/>
        <v>0</v>
      </c>
      <c r="AH4" s="16">
        <f t="shared" si="6"/>
        <v>0</v>
      </c>
      <c r="AI4" s="16">
        <f t="shared" si="6"/>
        <v>0</v>
      </c>
      <c r="AJ4" s="16">
        <f t="shared" si="4"/>
        <v>0</v>
      </c>
      <c r="AK4" s="16">
        <f>IF($B26=9%,S26-S26*S23,0)</f>
        <v>0</v>
      </c>
      <c r="AL4" s="16">
        <f>IF($B26=9%,T26-T26*T23,0)</f>
        <v>0</v>
      </c>
      <c r="AM4" s="16">
        <f>IF($B26=9%,U26-U26*U23,0)</f>
        <v>0</v>
      </c>
    </row>
    <row r="5" spans="1:39" ht="15.75" customHeight="1">
      <c r="A5" s="17"/>
      <c r="B5" s="17" t="s">
        <v>207</v>
      </c>
      <c r="C5" s="17"/>
      <c r="D5" s="18"/>
      <c r="E5" s="40">
        <f>E12*E15+E17*E20+E22*E25+E27*E30+E32*E35+E37*E40+E42*E45+E47*E50+E52*E55+E57*E60</f>
        <v>37000</v>
      </c>
      <c r="F5" s="19">
        <f aca="true" t="shared" si="7" ref="F5:L5">ROUND(F12*F15+F17*F20+F22*F25+F27*F30+F32*F35+F37*F40+F42*F45+F47*F50+F52*F55+F57*F60,0)</f>
        <v>0</v>
      </c>
      <c r="G5" s="19">
        <f t="shared" si="7"/>
        <v>0</v>
      </c>
      <c r="H5" s="19">
        <f t="shared" si="7"/>
        <v>0</v>
      </c>
      <c r="I5" s="19">
        <f t="shared" si="7"/>
        <v>0</v>
      </c>
      <c r="J5" s="19">
        <f t="shared" si="7"/>
        <v>0</v>
      </c>
      <c r="K5" s="19">
        <f t="shared" si="7"/>
        <v>0</v>
      </c>
      <c r="L5" s="19">
        <f t="shared" si="7"/>
        <v>0</v>
      </c>
      <c r="M5" s="19">
        <f>ROUND(M12*M15+M17*M20+M22*M25+M27*M30+M32*M35+M37*M40+M42*M45+M47*M50+M52*M55+M57*M60,0)</f>
        <v>0</v>
      </c>
      <c r="N5" s="19">
        <f>ROUND(N12*N15+N17*N20+N22*N25+N27*N30+N32*N35+N37*N40+N42*N45+N47*N50+N52*N55+N57*N60,0)</f>
        <v>0</v>
      </c>
      <c r="O5" s="19">
        <f>ROUND(O12*O15+O17*O20+O22*O25+O27*O30+O32*O35+O37*O40+O42*O45+O47*O50+O52*O55+O57*O60,0)</f>
        <v>0</v>
      </c>
      <c r="P5" s="19">
        <f>ROUND(P12*P15+P17*P20+P22*P25+P27*P30+P32*P35+P37*P40+P42*P45+P47*P50+P52*P55+P57*P60,0)</f>
        <v>0</v>
      </c>
      <c r="Q5" s="19">
        <f>ROUND(Q12*Q15+Q17*Q20+Q22*Q25+Q27*Q30+Q32*Q35+Q37*Q40+Q42*Q45+Q47*Q50+Q52*Q55+Q57*Q60,0)</f>
        <v>0</v>
      </c>
      <c r="R5" s="20">
        <f>SUM(F5:Q5)</f>
        <v>0</v>
      </c>
      <c r="S5" s="19">
        <f>ROUND(S12*S15+S17*S20+S22*S25+S27*S30+S32*S35+S37*S40+S42*S45+S47*S50+S52*S55+S57*S60,0)</f>
        <v>0</v>
      </c>
      <c r="T5" s="19">
        <f>T12*T15+T17*T20+T22*T25+T27*T30+T32*T35+T37*T40+T42*T45+T47*T50+T52*T55+T57*T60</f>
        <v>0</v>
      </c>
      <c r="U5" s="19">
        <f>U12*U15+U17*U20+U22*U25+U27*U30+U32*U35+U37*U40+U42*U45+U47*U50+U52*U55+U57*U60</f>
        <v>0</v>
      </c>
      <c r="W5" s="16">
        <f>IF($B31=9%,E31-E31*E28,0)</f>
        <v>0</v>
      </c>
      <c r="X5" s="16">
        <f aca="true" t="shared" si="8" ref="X5:AI5">IF($B31=9%,F31-F31*F28,0)</f>
        <v>0</v>
      </c>
      <c r="Y5" s="16">
        <f t="shared" si="8"/>
        <v>0</v>
      </c>
      <c r="Z5" s="16">
        <f t="shared" si="8"/>
        <v>0</v>
      </c>
      <c r="AA5" s="16">
        <f t="shared" si="8"/>
        <v>0</v>
      </c>
      <c r="AB5" s="16">
        <f t="shared" si="8"/>
        <v>0</v>
      </c>
      <c r="AC5" s="16">
        <f t="shared" si="8"/>
        <v>0</v>
      </c>
      <c r="AD5" s="16">
        <f t="shared" si="8"/>
        <v>0</v>
      </c>
      <c r="AE5" s="16">
        <f t="shared" si="8"/>
        <v>0</v>
      </c>
      <c r="AF5" s="16">
        <f t="shared" si="8"/>
        <v>0</v>
      </c>
      <c r="AG5" s="16">
        <f t="shared" si="8"/>
        <v>0</v>
      </c>
      <c r="AH5" s="16">
        <f t="shared" si="8"/>
        <v>0</v>
      </c>
      <c r="AI5" s="16">
        <f t="shared" si="8"/>
        <v>0</v>
      </c>
      <c r="AJ5" s="16">
        <f t="shared" si="4"/>
        <v>0</v>
      </c>
      <c r="AK5" s="16">
        <f>IF($B31=9%,S31-S31*S28,0)</f>
        <v>0</v>
      </c>
      <c r="AL5" s="16">
        <f>IF($B31=9%,T31-T31*T28,0)</f>
        <v>0</v>
      </c>
      <c r="AM5" s="16">
        <f>IF($B31=9%,U31-U31*U28,0)</f>
        <v>0</v>
      </c>
    </row>
    <row r="6" spans="1:39" ht="15.75" customHeight="1">
      <c r="A6" s="17"/>
      <c r="B6" s="17" t="s">
        <v>208</v>
      </c>
      <c r="C6" s="17"/>
      <c r="D6" s="18"/>
      <c r="E6" s="40">
        <f>E12*E15*$C16+E17*E20*$C21+E22*E25*$C26+E27*E30*$C31+E32*E35*$C36+E37*E40*$C41+E42*E45*$C46+E47*E50*$C51+E52*E55*$C56+E57*E60*$C61</f>
        <v>3700</v>
      </c>
      <c r="F6" s="19">
        <f>ROUND(F12*F15*$C16+F17*F20*$C21+F22*F25*$C26+F27*F30*$C31+F32*F35*$C36+F37*F40*$C41+F42*F45*$C46+F47*F50*$C51+F52*F55*$C56+F57*F60*$C61,0)</f>
        <v>0</v>
      </c>
      <c r="G6" s="19">
        <f aca="true" t="shared" si="9" ref="G6:Q6">ROUND(G12*G15*$C16+G17*G20*$C21+G22*G25*$C26+G27*G30*$C31+G32*G35*$C36+G37*G40*$C41+G42*G45*$C46+G47*G50*$C51+G52*G55*$C56+G57*G60*$C61,0)</f>
        <v>0</v>
      </c>
      <c r="H6" s="19">
        <f t="shared" si="9"/>
        <v>0</v>
      </c>
      <c r="I6" s="19">
        <f t="shared" si="9"/>
        <v>0</v>
      </c>
      <c r="J6" s="19">
        <f t="shared" si="9"/>
        <v>0</v>
      </c>
      <c r="K6" s="19">
        <f t="shared" si="9"/>
        <v>0</v>
      </c>
      <c r="L6" s="19">
        <f t="shared" si="9"/>
        <v>0</v>
      </c>
      <c r="M6" s="19">
        <f t="shared" si="9"/>
        <v>0</v>
      </c>
      <c r="N6" s="19">
        <f t="shared" si="9"/>
        <v>0</v>
      </c>
      <c r="O6" s="19">
        <f t="shared" si="9"/>
        <v>0</v>
      </c>
      <c r="P6" s="19">
        <f t="shared" si="9"/>
        <v>0</v>
      </c>
      <c r="Q6" s="19">
        <f t="shared" si="9"/>
        <v>0</v>
      </c>
      <c r="R6" s="19"/>
      <c r="S6" s="19">
        <f>(ROUND(S12*S15*$C16+S17*S20*$C21+S22*S25*$C26+S27*S30*$C31+S32*S35*$C36+S37*S40*$C41+S42*S45*$C46+S47*S50*$C51+S52*S55*$C56+S57*S60*$C61,0))/12</f>
        <v>0</v>
      </c>
      <c r="T6" s="19">
        <f>(ROUND(T12*T15*$C16+T17*T20*$C21+T22*T25*$C26+T27*T30*$C31+T32*T35*$C36+T37*T40*$C41+T42*T45*$C46+T47*T50*$C51+T52*T55*$C56+T57*T60*$C61,0))/12</f>
        <v>0</v>
      </c>
      <c r="U6" s="19">
        <f>(ROUND(U12*U15*$C16+U17*U20*$C21+U22*U25*$C26+U27*U30*$C31+U32*U35*$C36+U37*U40*$C41+U42*U45*$C46+U47*U50*$C51+U52*U55*$C56+U57*U60*$C61,0))/12</f>
        <v>0</v>
      </c>
      <c r="W6" s="16">
        <f>IF($B36=9%,E36-E36*E33,0)</f>
        <v>0</v>
      </c>
      <c r="X6" s="16">
        <f aca="true" t="shared" si="10" ref="X6:AI6">IF($B36=9%,F36-F36*F33,0)</f>
        <v>0</v>
      </c>
      <c r="Y6" s="16">
        <f t="shared" si="10"/>
        <v>0</v>
      </c>
      <c r="Z6" s="16">
        <f t="shared" si="10"/>
        <v>0</v>
      </c>
      <c r="AA6" s="16">
        <f t="shared" si="10"/>
        <v>0</v>
      </c>
      <c r="AB6" s="16">
        <f t="shared" si="10"/>
        <v>0</v>
      </c>
      <c r="AC6" s="16">
        <f t="shared" si="10"/>
        <v>0</v>
      </c>
      <c r="AD6" s="16">
        <f t="shared" si="10"/>
        <v>0</v>
      </c>
      <c r="AE6" s="16">
        <f t="shared" si="10"/>
        <v>0</v>
      </c>
      <c r="AF6" s="16">
        <f t="shared" si="10"/>
        <v>0</v>
      </c>
      <c r="AG6" s="16">
        <f t="shared" si="10"/>
        <v>0</v>
      </c>
      <c r="AH6" s="16">
        <f t="shared" si="10"/>
        <v>0</v>
      </c>
      <c r="AI6" s="16">
        <f t="shared" si="10"/>
        <v>0</v>
      </c>
      <c r="AJ6" s="16">
        <f t="shared" si="4"/>
        <v>0</v>
      </c>
      <c r="AK6" s="16">
        <f>IF($B36=9%,S36-S36*S33,0)</f>
        <v>0</v>
      </c>
      <c r="AL6" s="16">
        <f>IF($B36=9%,T36-T36*T33,0)</f>
        <v>0</v>
      </c>
      <c r="AM6" s="16">
        <f>IF($B36=9%,U36-U36*U33,0)</f>
        <v>0</v>
      </c>
    </row>
    <row r="7" spans="1:39" ht="15.75" customHeight="1">
      <c r="A7" s="17"/>
      <c r="B7" s="17" t="s">
        <v>209</v>
      </c>
      <c r="C7" s="17"/>
      <c r="D7" s="18"/>
      <c r="E7" s="40">
        <f>E6</f>
        <v>3700</v>
      </c>
      <c r="F7" s="19">
        <f>F6</f>
        <v>0</v>
      </c>
      <c r="G7" s="19">
        <f aca="true" t="shared" si="11" ref="G7:Q7">G6</f>
        <v>0</v>
      </c>
      <c r="H7" s="19">
        <f t="shared" si="11"/>
        <v>0</v>
      </c>
      <c r="I7" s="19">
        <f t="shared" si="11"/>
        <v>0</v>
      </c>
      <c r="J7" s="19">
        <f t="shared" si="11"/>
        <v>0</v>
      </c>
      <c r="K7" s="19">
        <f t="shared" si="11"/>
        <v>0</v>
      </c>
      <c r="L7" s="19">
        <f t="shared" si="11"/>
        <v>0</v>
      </c>
      <c r="M7" s="19">
        <f t="shared" si="11"/>
        <v>0</v>
      </c>
      <c r="N7" s="19">
        <f t="shared" si="11"/>
        <v>0</v>
      </c>
      <c r="O7" s="19">
        <f t="shared" si="11"/>
        <v>0</v>
      </c>
      <c r="P7" s="19">
        <f t="shared" si="11"/>
        <v>0</v>
      </c>
      <c r="Q7" s="19">
        <f t="shared" si="11"/>
        <v>0</v>
      </c>
      <c r="R7" s="20">
        <f>Q7</f>
        <v>0</v>
      </c>
      <c r="S7" s="19">
        <f>S6</f>
        <v>0</v>
      </c>
      <c r="T7" s="19">
        <f>T6</f>
        <v>0</v>
      </c>
      <c r="U7" s="19">
        <f>U6</f>
        <v>0</v>
      </c>
      <c r="W7" s="16">
        <f>IF($B41=9%,E41-E41*E38,0)</f>
        <v>0</v>
      </c>
      <c r="X7" s="16">
        <f aca="true" t="shared" si="12" ref="X7:AI7">IF($B41=9%,F41-F41*F38,0)</f>
        <v>0</v>
      </c>
      <c r="Y7" s="16">
        <f t="shared" si="12"/>
        <v>0</v>
      </c>
      <c r="Z7" s="16">
        <f t="shared" si="12"/>
        <v>0</v>
      </c>
      <c r="AA7" s="16">
        <f t="shared" si="12"/>
        <v>0</v>
      </c>
      <c r="AB7" s="16">
        <f t="shared" si="12"/>
        <v>0</v>
      </c>
      <c r="AC7" s="16">
        <f t="shared" si="12"/>
        <v>0</v>
      </c>
      <c r="AD7" s="16">
        <f t="shared" si="12"/>
        <v>0</v>
      </c>
      <c r="AE7" s="16">
        <f t="shared" si="12"/>
        <v>0</v>
      </c>
      <c r="AF7" s="16">
        <f t="shared" si="12"/>
        <v>0</v>
      </c>
      <c r="AG7" s="16">
        <f t="shared" si="12"/>
        <v>0</v>
      </c>
      <c r="AH7" s="16">
        <f t="shared" si="12"/>
        <v>0</v>
      </c>
      <c r="AI7" s="16">
        <f t="shared" si="12"/>
        <v>0</v>
      </c>
      <c r="AJ7" s="16">
        <f t="shared" si="4"/>
        <v>0</v>
      </c>
      <c r="AK7" s="16">
        <f>IF($B41=9%,S41-S41*S38,0)</f>
        <v>0</v>
      </c>
      <c r="AL7" s="16">
        <f>IF($B41=9%,T41-T41*T38,0)</f>
        <v>0</v>
      </c>
      <c r="AM7" s="16">
        <f>IF($B41=9%,U41-U41*U38,0)</f>
        <v>0</v>
      </c>
    </row>
    <row r="8" spans="1:39" s="12" customFormat="1" ht="15.75" customHeight="1">
      <c r="A8" s="17"/>
      <c r="B8" s="17" t="s">
        <v>210</v>
      </c>
      <c r="C8" s="17"/>
      <c r="D8" s="18"/>
      <c r="E8" s="40">
        <f>E5+E6</f>
        <v>40700</v>
      </c>
      <c r="F8" s="19">
        <f>F5+F6</f>
        <v>0</v>
      </c>
      <c r="G8" s="19">
        <f>G5+G6-F7</f>
        <v>0</v>
      </c>
      <c r="H8" s="19">
        <f aca="true" t="shared" si="13" ref="H8:Q8">H5+H6-G7</f>
        <v>0</v>
      </c>
      <c r="I8" s="19">
        <f t="shared" si="13"/>
        <v>0</v>
      </c>
      <c r="J8" s="19">
        <f t="shared" si="13"/>
        <v>0</v>
      </c>
      <c r="K8" s="19">
        <f t="shared" si="13"/>
        <v>0</v>
      </c>
      <c r="L8" s="19">
        <f t="shared" si="13"/>
        <v>0</v>
      </c>
      <c r="M8" s="19">
        <f t="shared" si="13"/>
        <v>0</v>
      </c>
      <c r="N8" s="19">
        <f t="shared" si="13"/>
        <v>0</v>
      </c>
      <c r="O8" s="19">
        <f t="shared" si="13"/>
        <v>0</v>
      </c>
      <c r="P8" s="19">
        <f t="shared" si="13"/>
        <v>0</v>
      </c>
      <c r="Q8" s="19">
        <f t="shared" si="13"/>
        <v>0</v>
      </c>
      <c r="R8" s="20">
        <f>SUM(F8:Q8)</f>
        <v>0</v>
      </c>
      <c r="S8" s="19">
        <f>S5+S6-Q7</f>
        <v>0</v>
      </c>
      <c r="T8" s="19">
        <f>T5+T6-S7</f>
        <v>0</v>
      </c>
      <c r="U8" s="19">
        <f>U5+U6-T7</f>
        <v>0</v>
      </c>
      <c r="W8" s="16">
        <f>IF($B46=9%,E46-E46*E43,0)</f>
        <v>0</v>
      </c>
      <c r="X8" s="16">
        <f aca="true" t="shared" si="14" ref="X8:AI8">IF($B46=9%,F46-F46*F43,0)</f>
        <v>0</v>
      </c>
      <c r="Y8" s="16">
        <f t="shared" si="14"/>
        <v>0</v>
      </c>
      <c r="Z8" s="16">
        <f t="shared" si="14"/>
        <v>0</v>
      </c>
      <c r="AA8" s="16">
        <f t="shared" si="14"/>
        <v>0</v>
      </c>
      <c r="AB8" s="16">
        <f t="shared" si="14"/>
        <v>0</v>
      </c>
      <c r="AC8" s="16">
        <f t="shared" si="14"/>
        <v>0</v>
      </c>
      <c r="AD8" s="16">
        <f t="shared" si="14"/>
        <v>0</v>
      </c>
      <c r="AE8" s="16">
        <f t="shared" si="14"/>
        <v>0</v>
      </c>
      <c r="AF8" s="16">
        <f t="shared" si="14"/>
        <v>0</v>
      </c>
      <c r="AG8" s="16">
        <f t="shared" si="14"/>
        <v>0</v>
      </c>
      <c r="AH8" s="16">
        <f t="shared" si="14"/>
        <v>0</v>
      </c>
      <c r="AI8" s="16">
        <f t="shared" si="14"/>
        <v>0</v>
      </c>
      <c r="AJ8" s="16">
        <f t="shared" si="4"/>
        <v>0</v>
      </c>
      <c r="AK8" s="16">
        <f>IF($B46=9%,S46-S46*S43,0)</f>
        <v>0</v>
      </c>
      <c r="AL8" s="16">
        <f>IF($B46=9%,T46-T46*T43,0)</f>
        <v>0</v>
      </c>
      <c r="AM8" s="16">
        <f>IF($B46=9%,U46-U46*U43,0)</f>
        <v>0</v>
      </c>
    </row>
    <row r="9" spans="1:39" s="12" customFormat="1" ht="15.75" customHeight="1">
      <c r="A9" s="17"/>
      <c r="B9" s="17" t="s">
        <v>212</v>
      </c>
      <c r="C9" s="17"/>
      <c r="D9" s="18"/>
      <c r="E9" s="40">
        <f>SUM(W2:W11)</f>
        <v>0</v>
      </c>
      <c r="F9" s="19">
        <f>SUM(X2:X11)</f>
        <v>0</v>
      </c>
      <c r="G9" s="19">
        <f aca="true" t="shared" si="15" ref="G9:S9">SUM(Y2:Y11)</f>
        <v>0</v>
      </c>
      <c r="H9" s="19">
        <f t="shared" si="15"/>
        <v>0</v>
      </c>
      <c r="I9" s="19">
        <f t="shared" si="15"/>
        <v>0</v>
      </c>
      <c r="J9" s="19">
        <f t="shared" si="15"/>
        <v>0</v>
      </c>
      <c r="K9" s="19">
        <f t="shared" si="15"/>
        <v>0</v>
      </c>
      <c r="L9" s="19">
        <f t="shared" si="15"/>
        <v>0</v>
      </c>
      <c r="M9" s="19">
        <f t="shared" si="15"/>
        <v>0</v>
      </c>
      <c r="N9" s="19">
        <f t="shared" si="15"/>
        <v>0</v>
      </c>
      <c r="O9" s="19">
        <f t="shared" si="15"/>
        <v>0</v>
      </c>
      <c r="P9" s="19">
        <f t="shared" si="15"/>
        <v>0</v>
      </c>
      <c r="Q9" s="19">
        <f t="shared" si="15"/>
        <v>0</v>
      </c>
      <c r="R9" s="20">
        <f>SUM(F9:Q9)</f>
        <v>0</v>
      </c>
      <c r="S9" s="19">
        <f t="shared" si="15"/>
        <v>0</v>
      </c>
      <c r="T9" s="19">
        <f>SUM(AL2:AL11)</f>
        <v>0</v>
      </c>
      <c r="U9" s="19">
        <f>SUM(AM2:AM11)</f>
        <v>0</v>
      </c>
      <c r="W9" s="12">
        <f>IF($B51=9%,E51-E51*E48,0)</f>
        <v>0</v>
      </c>
      <c r="X9" s="12">
        <f aca="true" t="shared" si="16" ref="X9:AI9">IF($B51=9%,F51-F51*F48,0)</f>
        <v>0</v>
      </c>
      <c r="Y9" s="12">
        <f t="shared" si="16"/>
        <v>0</v>
      </c>
      <c r="Z9" s="12">
        <f t="shared" si="16"/>
        <v>0</v>
      </c>
      <c r="AA9" s="12">
        <f t="shared" si="16"/>
        <v>0</v>
      </c>
      <c r="AB9" s="12">
        <f t="shared" si="16"/>
        <v>0</v>
      </c>
      <c r="AC9" s="12">
        <f t="shared" si="16"/>
        <v>0</v>
      </c>
      <c r="AD9" s="12">
        <f t="shared" si="16"/>
        <v>0</v>
      </c>
      <c r="AE9" s="12">
        <f t="shared" si="16"/>
        <v>0</v>
      </c>
      <c r="AF9" s="12">
        <f t="shared" si="16"/>
        <v>0</v>
      </c>
      <c r="AG9" s="12">
        <f t="shared" si="16"/>
        <v>0</v>
      </c>
      <c r="AH9" s="12">
        <f t="shared" si="16"/>
        <v>0</v>
      </c>
      <c r="AI9" s="12">
        <f t="shared" si="16"/>
        <v>0</v>
      </c>
      <c r="AJ9" s="16">
        <f t="shared" si="4"/>
        <v>0</v>
      </c>
      <c r="AK9" s="12">
        <f>IF($B51=9%,S51-S51*S48,0)</f>
        <v>0</v>
      </c>
      <c r="AL9" s="12">
        <f>IF($B51=9%,T51-T51*T48,0)</f>
        <v>0</v>
      </c>
      <c r="AM9" s="12">
        <f>IF($B51=9%,U51-U51*U48,0)</f>
        <v>0</v>
      </c>
    </row>
    <row r="10" spans="1:39" s="12" customFormat="1" ht="15.75" customHeight="1">
      <c r="A10" s="17"/>
      <c r="B10" s="17" t="s">
        <v>143</v>
      </c>
      <c r="C10" s="17"/>
      <c r="D10" s="18"/>
      <c r="E10" s="40">
        <f aca="true" t="shared" si="17" ref="E10:Q10">E13*E16+E18*E21+E23*E26+E28*E31+E33*E36+E38*E41+E43*E46+E48*E51+E53*E56+E58*E61</f>
        <v>12000</v>
      </c>
      <c r="F10" s="19">
        <f>F13*F16+F18*F21+F23*F26+F28*F31+F33*F36+F38*F41+F43*F46+F48*F51+F53*F56+F58*F61</f>
        <v>0</v>
      </c>
      <c r="G10" s="19">
        <f>G13*G16+G18*G21+G23*G26+G28*G31+G33*G36+G38*G41+G43*G46+G48*G51+G53*G56+G58*G61</f>
        <v>0</v>
      </c>
      <c r="H10" s="19">
        <f t="shared" si="17"/>
        <v>0</v>
      </c>
      <c r="I10" s="19">
        <f t="shared" si="17"/>
        <v>0</v>
      </c>
      <c r="J10" s="19">
        <f t="shared" si="17"/>
        <v>0</v>
      </c>
      <c r="K10" s="19">
        <f t="shared" si="17"/>
        <v>0</v>
      </c>
      <c r="L10" s="19">
        <f t="shared" si="17"/>
        <v>0</v>
      </c>
      <c r="M10" s="19">
        <f t="shared" si="17"/>
        <v>0</v>
      </c>
      <c r="N10" s="19">
        <f t="shared" si="17"/>
        <v>0</v>
      </c>
      <c r="O10" s="19">
        <f t="shared" si="17"/>
        <v>0</v>
      </c>
      <c r="P10" s="19">
        <f t="shared" si="17"/>
        <v>0</v>
      </c>
      <c r="Q10" s="19">
        <f t="shared" si="17"/>
        <v>0</v>
      </c>
      <c r="R10" s="20">
        <f>SUM(F10:Q10)</f>
        <v>0</v>
      </c>
      <c r="S10" s="19">
        <f>S13*S16+S18*S21+S23*S26+S28*S31+S33*S36+S38*S41+S43*S46+S48*S51+S53*S56+S58*S61</f>
        <v>0</v>
      </c>
      <c r="T10" s="19">
        <f>T13*T16+T18*T21+T23*T26+T28*T31+T33*T36+T38*T41+T43*T46+T48*T51+T53*T56+T58*T61</f>
        <v>0</v>
      </c>
      <c r="U10" s="19">
        <f>U13*U16+U18*U21+U23*U26+U28*U31+U33*U36+U38*U41+U43*U46+U48*U51+U53*U56+U58*U61</f>
        <v>0</v>
      </c>
      <c r="W10" s="12">
        <f>IF($B56=9%,E56-E56*E53,0)</f>
        <v>0</v>
      </c>
      <c r="X10" s="12">
        <f aca="true" t="shared" si="18" ref="X10:AI10">IF($B56=9%,F56-F56*F53,0)</f>
        <v>0</v>
      </c>
      <c r="Y10" s="12">
        <f t="shared" si="18"/>
        <v>0</v>
      </c>
      <c r="Z10" s="12">
        <f t="shared" si="18"/>
        <v>0</v>
      </c>
      <c r="AA10" s="12">
        <f t="shared" si="18"/>
        <v>0</v>
      </c>
      <c r="AB10" s="12">
        <f t="shared" si="18"/>
        <v>0</v>
      </c>
      <c r="AC10" s="12">
        <f t="shared" si="18"/>
        <v>0</v>
      </c>
      <c r="AD10" s="12">
        <f t="shared" si="18"/>
        <v>0</v>
      </c>
      <c r="AE10" s="12">
        <f t="shared" si="18"/>
        <v>0</v>
      </c>
      <c r="AF10" s="12">
        <f t="shared" si="18"/>
        <v>0</v>
      </c>
      <c r="AG10" s="12">
        <f t="shared" si="18"/>
        <v>0</v>
      </c>
      <c r="AH10" s="12">
        <f t="shared" si="18"/>
        <v>0</v>
      </c>
      <c r="AI10" s="12">
        <f t="shared" si="18"/>
        <v>0</v>
      </c>
      <c r="AJ10" s="16">
        <f t="shared" si="4"/>
        <v>0</v>
      </c>
      <c r="AK10" s="12">
        <f>IF($B56=9%,S56-S56*S53,0)</f>
        <v>0</v>
      </c>
      <c r="AL10" s="12">
        <f>IF($B56=9%,T56-T56*T53,0)</f>
        <v>0</v>
      </c>
      <c r="AM10" s="12">
        <f>IF($B56=9%,U56-U56*U53,0)</f>
        <v>0</v>
      </c>
    </row>
    <row r="11" spans="1:39" s="12" customFormat="1" ht="15.75" customHeight="1" thickBot="1">
      <c r="A11" s="21"/>
      <c r="B11" s="21"/>
      <c r="C11" s="21"/>
      <c r="D11" s="22"/>
      <c r="E11" s="41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3"/>
      <c r="T11" s="23"/>
      <c r="U11" s="23"/>
      <c r="W11" s="12">
        <f>IF($B61=9%,E61-E61*E58,0)</f>
        <v>0</v>
      </c>
      <c r="X11" s="12">
        <f aca="true" t="shared" si="19" ref="X11:AI11">IF($B61=9%,F61-F61*F58,0)</f>
        <v>0</v>
      </c>
      <c r="Y11" s="12">
        <f t="shared" si="19"/>
        <v>0</v>
      </c>
      <c r="Z11" s="12">
        <f t="shared" si="19"/>
        <v>0</v>
      </c>
      <c r="AA11" s="12">
        <f t="shared" si="19"/>
        <v>0</v>
      </c>
      <c r="AB11" s="12">
        <f t="shared" si="19"/>
        <v>0</v>
      </c>
      <c r="AC11" s="12">
        <f t="shared" si="19"/>
        <v>0</v>
      </c>
      <c r="AD11" s="12">
        <f t="shared" si="19"/>
        <v>0</v>
      </c>
      <c r="AE11" s="12">
        <f t="shared" si="19"/>
        <v>0</v>
      </c>
      <c r="AF11" s="12">
        <f t="shared" si="19"/>
        <v>0</v>
      </c>
      <c r="AG11" s="12">
        <f t="shared" si="19"/>
        <v>0</v>
      </c>
      <c r="AH11" s="12">
        <f t="shared" si="19"/>
        <v>0</v>
      </c>
      <c r="AI11" s="12">
        <f t="shared" si="19"/>
        <v>0</v>
      </c>
      <c r="AJ11" s="16">
        <f t="shared" si="4"/>
        <v>0</v>
      </c>
      <c r="AK11" s="12">
        <f>IF($B61=9%,S61-S61*S58,0)</f>
        <v>0</v>
      </c>
      <c r="AL11" s="12">
        <f>IF($B61=9%,T61-T61*T58,0)</f>
        <v>0</v>
      </c>
      <c r="AM11" s="12">
        <f>IF($B61=9%,U61-U61*U58,0)</f>
        <v>0</v>
      </c>
    </row>
    <row r="12" spans="1:21" s="26" customFormat="1" ht="15.75" customHeight="1" thickTop="1">
      <c r="A12" s="305">
        <v>1</v>
      </c>
      <c r="B12" s="308" t="s">
        <v>201</v>
      </c>
      <c r="C12" s="309"/>
      <c r="D12" s="25" t="s">
        <v>133</v>
      </c>
      <c r="E12" s="42">
        <v>2</v>
      </c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>
        <f>SUM(F12:Q12)</f>
        <v>0</v>
      </c>
      <c r="S12" s="206"/>
      <c r="T12" s="206"/>
      <c r="U12" s="206"/>
    </row>
    <row r="13" spans="1:21" s="26" customFormat="1" ht="17.25" customHeight="1">
      <c r="A13" s="306"/>
      <c r="B13" s="310"/>
      <c r="C13" s="310"/>
      <c r="D13" s="27" t="s">
        <v>115</v>
      </c>
      <c r="E13" s="43">
        <v>0.5</v>
      </c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259" t="e">
        <f>AVERAGE(F13:Q13)</f>
        <v>#DIV/0!</v>
      </c>
      <c r="S13" s="149"/>
      <c r="T13" s="149"/>
      <c r="U13" s="149"/>
    </row>
    <row r="14" spans="1:21" s="26" customFormat="1" ht="11.25" customHeight="1">
      <c r="A14" s="306"/>
      <c r="B14" s="310"/>
      <c r="C14" s="310"/>
      <c r="D14" s="28" t="s">
        <v>145</v>
      </c>
      <c r="E14" s="40">
        <v>12000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26" customFormat="1" ht="32.25" customHeight="1">
      <c r="A15" s="306"/>
      <c r="B15" s="250" t="s">
        <v>134</v>
      </c>
      <c r="C15" s="29" t="s">
        <v>142</v>
      </c>
      <c r="D15" s="28" t="s">
        <v>175</v>
      </c>
      <c r="E15" s="40">
        <v>8000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26" customFormat="1" ht="15.75" customHeight="1" thickBot="1">
      <c r="A16" s="307"/>
      <c r="B16" s="30">
        <v>0.2</v>
      </c>
      <c r="C16" s="30">
        <v>0.1</v>
      </c>
      <c r="D16" s="31" t="s">
        <v>127</v>
      </c>
      <c r="E16" s="44">
        <f>E12*E14</f>
        <v>24000</v>
      </c>
      <c r="F16" s="50">
        <f>F12*F14</f>
        <v>0</v>
      </c>
      <c r="G16" s="50">
        <f aca="true" t="shared" si="20" ref="G16:U16">G12*G14</f>
        <v>0</v>
      </c>
      <c r="H16" s="50">
        <f t="shared" si="20"/>
        <v>0</v>
      </c>
      <c r="I16" s="50">
        <f t="shared" si="20"/>
        <v>0</v>
      </c>
      <c r="J16" s="50">
        <f t="shared" si="20"/>
        <v>0</v>
      </c>
      <c r="K16" s="50">
        <f t="shared" si="20"/>
        <v>0</v>
      </c>
      <c r="L16" s="50">
        <f t="shared" si="20"/>
        <v>0</v>
      </c>
      <c r="M16" s="50">
        <f t="shared" si="20"/>
        <v>0</v>
      </c>
      <c r="N16" s="50">
        <f t="shared" si="20"/>
        <v>0</v>
      </c>
      <c r="O16" s="50">
        <f t="shared" si="20"/>
        <v>0</v>
      </c>
      <c r="P16" s="50">
        <f t="shared" si="20"/>
        <v>0</v>
      </c>
      <c r="Q16" s="50">
        <f t="shared" si="20"/>
        <v>0</v>
      </c>
      <c r="R16" s="51">
        <f>SUM(F16:Q16)</f>
        <v>0</v>
      </c>
      <c r="S16" s="50">
        <f>S12*S14</f>
        <v>0</v>
      </c>
      <c r="T16" s="50">
        <f t="shared" si="20"/>
        <v>0</v>
      </c>
      <c r="U16" s="52">
        <f t="shared" si="20"/>
        <v>0</v>
      </c>
    </row>
    <row r="17" spans="1:21" s="26" customFormat="1" ht="15.75" customHeight="1" thickTop="1">
      <c r="A17" s="305">
        <v>2</v>
      </c>
      <c r="B17" s="308" t="s">
        <v>202</v>
      </c>
      <c r="C17" s="309"/>
      <c r="D17" s="25" t="s">
        <v>133</v>
      </c>
      <c r="E17" s="42">
        <v>15</v>
      </c>
      <c r="F17" s="47"/>
      <c r="G17" s="47"/>
      <c r="H17" s="47"/>
      <c r="I17" s="47"/>
      <c r="J17" s="203"/>
      <c r="K17" s="203"/>
      <c r="L17" s="203"/>
      <c r="M17" s="203"/>
      <c r="N17" s="203"/>
      <c r="O17" s="203"/>
      <c r="P17" s="203"/>
      <c r="Q17" s="203"/>
      <c r="R17" s="204">
        <f>SUM(F17:Q17)</f>
        <v>0</v>
      </c>
      <c r="S17" s="203"/>
      <c r="T17" s="203"/>
      <c r="U17" s="205"/>
    </row>
    <row r="18" spans="1:21" s="26" customFormat="1" ht="15.75" customHeight="1">
      <c r="A18" s="306"/>
      <c r="B18" s="310"/>
      <c r="C18" s="310"/>
      <c r="D18" s="27" t="s">
        <v>115</v>
      </c>
      <c r="E18" s="43">
        <v>0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50"/>
    </row>
    <row r="19" spans="1:21" s="26" customFormat="1" ht="15.75" customHeight="1">
      <c r="A19" s="306"/>
      <c r="B19" s="310"/>
      <c r="C19" s="310"/>
      <c r="D19" s="28" t="s">
        <v>145</v>
      </c>
      <c r="E19" s="40">
        <v>3000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</row>
    <row r="20" spans="1:21" s="26" customFormat="1" ht="34.5" customHeight="1">
      <c r="A20" s="306"/>
      <c r="B20" s="252" t="s">
        <v>134</v>
      </c>
      <c r="C20" s="29" t="s">
        <v>142</v>
      </c>
      <c r="D20" s="28" t="s">
        <v>176</v>
      </c>
      <c r="E20" s="40">
        <v>1400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</row>
    <row r="21" spans="1:21" s="26" customFormat="1" ht="15.75" customHeight="1" thickBot="1">
      <c r="A21" s="307"/>
      <c r="B21" s="30">
        <v>0.2</v>
      </c>
      <c r="C21" s="30">
        <v>0.1</v>
      </c>
      <c r="D21" s="31" t="s">
        <v>140</v>
      </c>
      <c r="E21" s="44">
        <f>E17*E19</f>
        <v>45000</v>
      </c>
      <c r="F21" s="50">
        <f aca="true" t="shared" si="21" ref="F21:Q21">F17*F19</f>
        <v>0</v>
      </c>
      <c r="G21" s="50">
        <f t="shared" si="21"/>
        <v>0</v>
      </c>
      <c r="H21" s="50">
        <f t="shared" si="21"/>
        <v>0</v>
      </c>
      <c r="I21" s="50">
        <f t="shared" si="21"/>
        <v>0</v>
      </c>
      <c r="J21" s="50">
        <f t="shared" si="21"/>
        <v>0</v>
      </c>
      <c r="K21" s="50">
        <f t="shared" si="21"/>
        <v>0</v>
      </c>
      <c r="L21" s="50">
        <f t="shared" si="21"/>
        <v>0</v>
      </c>
      <c r="M21" s="50">
        <f t="shared" si="21"/>
        <v>0</v>
      </c>
      <c r="N21" s="50">
        <f t="shared" si="21"/>
        <v>0</v>
      </c>
      <c r="O21" s="50">
        <f t="shared" si="21"/>
        <v>0</v>
      </c>
      <c r="P21" s="50">
        <f t="shared" si="21"/>
        <v>0</v>
      </c>
      <c r="Q21" s="50">
        <f t="shared" si="21"/>
        <v>0</v>
      </c>
      <c r="R21" s="51">
        <f>SUM(F21:Q21)</f>
        <v>0</v>
      </c>
      <c r="S21" s="50">
        <f>S17*S19</f>
        <v>0</v>
      </c>
      <c r="T21" s="50">
        <f>T17*T19</f>
        <v>0</v>
      </c>
      <c r="U21" s="52">
        <f>U17*U19</f>
        <v>0</v>
      </c>
    </row>
    <row r="22" spans="1:21" ht="15.75" customHeight="1" thickTop="1">
      <c r="A22" s="296">
        <v>3</v>
      </c>
      <c r="B22" s="299"/>
      <c r="C22" s="300"/>
      <c r="D22" s="32" t="s">
        <v>133</v>
      </c>
      <c r="E22" s="42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9">
        <f>SUM(F22:Q22)</f>
        <v>0</v>
      </c>
      <c r="S22" s="208"/>
      <c r="T22" s="208"/>
      <c r="U22" s="210"/>
    </row>
    <row r="23" spans="1:21" ht="15.75" customHeight="1">
      <c r="A23" s="297"/>
      <c r="B23" s="301"/>
      <c r="C23" s="301"/>
      <c r="D23" s="33" t="s">
        <v>115</v>
      </c>
      <c r="E23" s="43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50"/>
    </row>
    <row r="24" spans="1:21" ht="11.25" customHeight="1">
      <c r="A24" s="297"/>
      <c r="B24" s="301"/>
      <c r="C24" s="301"/>
      <c r="D24" s="28" t="s">
        <v>145</v>
      </c>
      <c r="E24" s="40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</row>
    <row r="25" spans="1:21" ht="35.25" customHeight="1">
      <c r="A25" s="297"/>
      <c r="B25" s="34" t="s">
        <v>134</v>
      </c>
      <c r="C25" s="34" t="s">
        <v>142</v>
      </c>
      <c r="D25" s="10" t="s">
        <v>176</v>
      </c>
      <c r="E25" s="40">
        <v>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</row>
    <row r="26" spans="1:21" ht="15.75" customHeight="1" thickBot="1">
      <c r="A26" s="298"/>
      <c r="B26" s="35"/>
      <c r="C26" s="35"/>
      <c r="D26" s="31" t="s">
        <v>141</v>
      </c>
      <c r="E26" s="44"/>
      <c r="F26" s="50">
        <f aca="true" t="shared" si="22" ref="F26:Q26">F22*F24</f>
        <v>0</v>
      </c>
      <c r="G26" s="50">
        <f t="shared" si="22"/>
        <v>0</v>
      </c>
      <c r="H26" s="50">
        <f t="shared" si="22"/>
        <v>0</v>
      </c>
      <c r="I26" s="50">
        <f t="shared" si="22"/>
        <v>0</v>
      </c>
      <c r="J26" s="50">
        <f t="shared" si="22"/>
        <v>0</v>
      </c>
      <c r="K26" s="50">
        <f t="shared" si="22"/>
        <v>0</v>
      </c>
      <c r="L26" s="50">
        <f t="shared" si="22"/>
        <v>0</v>
      </c>
      <c r="M26" s="50">
        <f t="shared" si="22"/>
        <v>0</v>
      </c>
      <c r="N26" s="50">
        <f t="shared" si="22"/>
        <v>0</v>
      </c>
      <c r="O26" s="50">
        <f t="shared" si="22"/>
        <v>0</v>
      </c>
      <c r="P26" s="50">
        <f t="shared" si="22"/>
        <v>0</v>
      </c>
      <c r="Q26" s="50">
        <f t="shared" si="22"/>
        <v>0</v>
      </c>
      <c r="R26" s="51">
        <f>SUM(F26:Q26)</f>
        <v>0</v>
      </c>
      <c r="S26" s="50">
        <f>S22*S24</f>
        <v>0</v>
      </c>
      <c r="T26" s="50">
        <f>T22*T24</f>
        <v>0</v>
      </c>
      <c r="U26" s="52">
        <f>U22*U24</f>
        <v>0</v>
      </c>
    </row>
    <row r="27" spans="1:21" ht="15.75" customHeight="1" thickTop="1">
      <c r="A27" s="296">
        <v>4</v>
      </c>
      <c r="B27" s="299"/>
      <c r="C27" s="300"/>
      <c r="D27" s="32" t="s">
        <v>133</v>
      </c>
      <c r="E27" s="42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9">
        <f>SUM(F27:Q27)</f>
        <v>0</v>
      </c>
      <c r="S27" s="208"/>
      <c r="T27" s="208"/>
      <c r="U27" s="210"/>
    </row>
    <row r="28" spans="1:21" ht="15.75" customHeight="1">
      <c r="A28" s="297"/>
      <c r="B28" s="301"/>
      <c r="C28" s="301"/>
      <c r="D28" s="33" t="s">
        <v>115</v>
      </c>
      <c r="E28" s="43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50"/>
    </row>
    <row r="29" spans="1:21" ht="10.5" customHeight="1">
      <c r="A29" s="297"/>
      <c r="B29" s="301"/>
      <c r="C29" s="301"/>
      <c r="D29" s="28" t="s">
        <v>145</v>
      </c>
      <c r="E29" s="40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4"/>
    </row>
    <row r="30" spans="1:21" ht="44.25" customHeight="1">
      <c r="A30" s="297"/>
      <c r="B30" s="251" t="s">
        <v>134</v>
      </c>
      <c r="C30" s="34" t="s">
        <v>142</v>
      </c>
      <c r="D30" s="10" t="s">
        <v>131</v>
      </c>
      <c r="E30" s="40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</row>
    <row r="31" spans="1:21" ht="15.75" customHeight="1" thickBot="1">
      <c r="A31" s="298"/>
      <c r="B31" s="35"/>
      <c r="C31" s="35"/>
      <c r="D31" s="31" t="s">
        <v>128</v>
      </c>
      <c r="E31" s="44"/>
      <c r="F31" s="50">
        <f aca="true" t="shared" si="23" ref="F31:Q31">F27*F29</f>
        <v>0</v>
      </c>
      <c r="G31" s="50">
        <f t="shared" si="23"/>
        <v>0</v>
      </c>
      <c r="H31" s="50">
        <f t="shared" si="23"/>
        <v>0</v>
      </c>
      <c r="I31" s="50">
        <f t="shared" si="23"/>
        <v>0</v>
      </c>
      <c r="J31" s="50">
        <f t="shared" si="23"/>
        <v>0</v>
      </c>
      <c r="K31" s="50">
        <f t="shared" si="23"/>
        <v>0</v>
      </c>
      <c r="L31" s="50">
        <f t="shared" si="23"/>
        <v>0</v>
      </c>
      <c r="M31" s="50">
        <f t="shared" si="23"/>
        <v>0</v>
      </c>
      <c r="N31" s="50">
        <f t="shared" si="23"/>
        <v>0</v>
      </c>
      <c r="O31" s="50">
        <f t="shared" si="23"/>
        <v>0</v>
      </c>
      <c r="P31" s="50">
        <f t="shared" si="23"/>
        <v>0</v>
      </c>
      <c r="Q31" s="50">
        <f t="shared" si="23"/>
        <v>0</v>
      </c>
      <c r="R31" s="51">
        <f>SUM(F31:Q31)</f>
        <v>0</v>
      </c>
      <c r="S31" s="50">
        <f>S27*S29</f>
        <v>0</v>
      </c>
      <c r="T31" s="50">
        <f>T27*T29</f>
        <v>0</v>
      </c>
      <c r="U31" s="52">
        <f>U27*U29</f>
        <v>0</v>
      </c>
    </row>
    <row r="32" spans="1:22" ht="15.75" customHeight="1" thickTop="1">
      <c r="A32" s="296">
        <v>5</v>
      </c>
      <c r="B32" s="299"/>
      <c r="C32" s="300"/>
      <c r="D32" s="32" t="s">
        <v>133</v>
      </c>
      <c r="E32" s="42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2">
        <f>SUM(F32:Q32)</f>
        <v>0</v>
      </c>
      <c r="S32" s="211"/>
      <c r="T32" s="211"/>
      <c r="U32" s="213"/>
      <c r="V32" s="214"/>
    </row>
    <row r="33" spans="1:21" ht="15.75" customHeight="1">
      <c r="A33" s="297"/>
      <c r="B33" s="301"/>
      <c r="C33" s="301"/>
      <c r="D33" s="33" t="s">
        <v>115</v>
      </c>
      <c r="E33" s="43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</row>
    <row r="34" spans="1:21" ht="15.75" customHeight="1">
      <c r="A34" s="297"/>
      <c r="B34" s="301"/>
      <c r="C34" s="301"/>
      <c r="D34" s="28" t="s">
        <v>145</v>
      </c>
      <c r="E34" s="40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</row>
    <row r="35" spans="1:21" ht="24" customHeight="1">
      <c r="A35" s="297"/>
      <c r="B35" s="34" t="s">
        <v>134</v>
      </c>
      <c r="C35" s="34" t="s">
        <v>142</v>
      </c>
      <c r="D35" s="10" t="s">
        <v>175</v>
      </c>
      <c r="E35" s="40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</row>
    <row r="36" spans="1:21" ht="15.75" customHeight="1" thickBot="1">
      <c r="A36" s="298"/>
      <c r="B36" s="35"/>
      <c r="C36" s="35"/>
      <c r="D36" s="31" t="s">
        <v>129</v>
      </c>
      <c r="E36" s="44">
        <f>E32*E34</f>
        <v>0</v>
      </c>
      <c r="F36" s="50">
        <f aca="true" t="shared" si="24" ref="F36:Q36">F32*F34</f>
        <v>0</v>
      </c>
      <c r="G36" s="50">
        <f t="shared" si="24"/>
        <v>0</v>
      </c>
      <c r="H36" s="50">
        <f t="shared" si="24"/>
        <v>0</v>
      </c>
      <c r="I36" s="50">
        <f t="shared" si="24"/>
        <v>0</v>
      </c>
      <c r="J36" s="50">
        <f t="shared" si="24"/>
        <v>0</v>
      </c>
      <c r="K36" s="50">
        <f t="shared" si="24"/>
        <v>0</v>
      </c>
      <c r="L36" s="50">
        <f t="shared" si="24"/>
        <v>0</v>
      </c>
      <c r="M36" s="50">
        <f t="shared" si="24"/>
        <v>0</v>
      </c>
      <c r="N36" s="50">
        <f t="shared" si="24"/>
        <v>0</v>
      </c>
      <c r="O36" s="50">
        <f t="shared" si="24"/>
        <v>0</v>
      </c>
      <c r="P36" s="50">
        <f t="shared" si="24"/>
        <v>0</v>
      </c>
      <c r="Q36" s="50">
        <f t="shared" si="24"/>
        <v>0</v>
      </c>
      <c r="R36" s="51">
        <f>SUM(F36:Q36)</f>
        <v>0</v>
      </c>
      <c r="S36" s="50">
        <f>S32*S34</f>
        <v>0</v>
      </c>
      <c r="T36" s="50">
        <f>T32*T34</f>
        <v>0</v>
      </c>
      <c r="U36" s="52">
        <f>U32*U34</f>
        <v>0</v>
      </c>
    </row>
    <row r="37" spans="1:21" ht="15.75" customHeight="1" thickTop="1">
      <c r="A37" s="296">
        <v>6</v>
      </c>
      <c r="B37" s="299"/>
      <c r="C37" s="300"/>
      <c r="D37" s="32" t="s">
        <v>133</v>
      </c>
      <c r="E37" s="42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9">
        <f>SUM(F37:Q37)</f>
        <v>0</v>
      </c>
      <c r="S37" s="208"/>
      <c r="T37" s="208"/>
      <c r="U37" s="210"/>
    </row>
    <row r="38" spans="1:21" ht="15.75" customHeight="1">
      <c r="A38" s="297"/>
      <c r="B38" s="301"/>
      <c r="C38" s="301"/>
      <c r="D38" s="33" t="s">
        <v>115</v>
      </c>
      <c r="E38" s="43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50"/>
    </row>
    <row r="39" spans="1:21" ht="15.75" customHeight="1">
      <c r="A39" s="297"/>
      <c r="B39" s="301"/>
      <c r="C39" s="301"/>
      <c r="D39" s="28" t="s">
        <v>145</v>
      </c>
      <c r="E39" s="40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</row>
    <row r="40" spans="1:21" ht="36.75" customHeight="1">
      <c r="A40" s="297"/>
      <c r="B40" s="34" t="s">
        <v>134</v>
      </c>
      <c r="C40" s="34" t="s">
        <v>142</v>
      </c>
      <c r="D40" s="10" t="s">
        <v>176</v>
      </c>
      <c r="E40" s="40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</row>
    <row r="41" spans="1:21" ht="15.75" customHeight="1" thickBot="1">
      <c r="A41" s="298"/>
      <c r="B41" s="36"/>
      <c r="C41" s="36"/>
      <c r="D41" s="31" t="s">
        <v>135</v>
      </c>
      <c r="E41" s="44">
        <f>E37*E39</f>
        <v>0</v>
      </c>
      <c r="F41" s="50">
        <f aca="true" t="shared" si="25" ref="F41:Q41">F37*F39</f>
        <v>0</v>
      </c>
      <c r="G41" s="50">
        <f t="shared" si="25"/>
        <v>0</v>
      </c>
      <c r="H41" s="50">
        <f t="shared" si="25"/>
        <v>0</v>
      </c>
      <c r="I41" s="50">
        <f t="shared" si="25"/>
        <v>0</v>
      </c>
      <c r="J41" s="50">
        <f t="shared" si="25"/>
        <v>0</v>
      </c>
      <c r="K41" s="50">
        <f t="shared" si="25"/>
        <v>0</v>
      </c>
      <c r="L41" s="50">
        <f t="shared" si="25"/>
        <v>0</v>
      </c>
      <c r="M41" s="50">
        <f t="shared" si="25"/>
        <v>0</v>
      </c>
      <c r="N41" s="50">
        <f t="shared" si="25"/>
        <v>0</v>
      </c>
      <c r="O41" s="50">
        <f t="shared" si="25"/>
        <v>0</v>
      </c>
      <c r="P41" s="50">
        <f t="shared" si="25"/>
        <v>0</v>
      </c>
      <c r="Q41" s="50">
        <f t="shared" si="25"/>
        <v>0</v>
      </c>
      <c r="R41" s="51">
        <f>SUM(F41:Q41)</f>
        <v>0</v>
      </c>
      <c r="S41" s="50">
        <f>S37*S39</f>
        <v>0</v>
      </c>
      <c r="T41" s="50">
        <f>T37*T39</f>
        <v>0</v>
      </c>
      <c r="U41" s="52">
        <f>U37*U39</f>
        <v>0</v>
      </c>
    </row>
    <row r="42" spans="1:22" ht="15.75" customHeight="1" thickTop="1">
      <c r="A42" s="296">
        <v>7</v>
      </c>
      <c r="B42" s="299"/>
      <c r="C42" s="300"/>
      <c r="D42" s="32" t="s">
        <v>133</v>
      </c>
      <c r="E42" s="42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2">
        <f>SUM(F42:Q42)</f>
        <v>0</v>
      </c>
      <c r="S42" s="211"/>
      <c r="T42" s="211"/>
      <c r="U42" s="213"/>
      <c r="V42" s="214"/>
    </row>
    <row r="43" spans="1:21" ht="15.75" customHeight="1">
      <c r="A43" s="297"/>
      <c r="B43" s="301"/>
      <c r="C43" s="301"/>
      <c r="D43" s="33" t="s">
        <v>115</v>
      </c>
      <c r="E43" s="43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</row>
    <row r="44" spans="1:21" ht="15.75" customHeight="1">
      <c r="A44" s="297"/>
      <c r="B44" s="301"/>
      <c r="C44" s="301"/>
      <c r="D44" s="28" t="s">
        <v>145</v>
      </c>
      <c r="E44" s="40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4"/>
    </row>
    <row r="45" spans="1:21" ht="43.5" customHeight="1">
      <c r="A45" s="297"/>
      <c r="B45" s="34" t="s">
        <v>134</v>
      </c>
      <c r="C45" s="34" t="s">
        <v>142</v>
      </c>
      <c r="D45" s="10" t="s">
        <v>175</v>
      </c>
      <c r="E45" s="40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/>
    </row>
    <row r="46" spans="1:21" ht="15.75" customHeight="1" thickBot="1">
      <c r="A46" s="298"/>
      <c r="B46" s="35"/>
      <c r="C46" s="35"/>
      <c r="D46" s="31" t="s">
        <v>136</v>
      </c>
      <c r="E46" s="44">
        <f>E42*E44</f>
        <v>0</v>
      </c>
      <c r="F46" s="50">
        <f aca="true" t="shared" si="26" ref="F46:Q46">F42*F44</f>
        <v>0</v>
      </c>
      <c r="G46" s="50">
        <f t="shared" si="26"/>
        <v>0</v>
      </c>
      <c r="H46" s="50">
        <f t="shared" si="26"/>
        <v>0</v>
      </c>
      <c r="I46" s="50">
        <f t="shared" si="26"/>
        <v>0</v>
      </c>
      <c r="J46" s="50">
        <f t="shared" si="26"/>
        <v>0</v>
      </c>
      <c r="K46" s="50">
        <f t="shared" si="26"/>
        <v>0</v>
      </c>
      <c r="L46" s="50">
        <f t="shared" si="26"/>
        <v>0</v>
      </c>
      <c r="M46" s="50">
        <f t="shared" si="26"/>
        <v>0</v>
      </c>
      <c r="N46" s="50">
        <f t="shared" si="26"/>
        <v>0</v>
      </c>
      <c r="O46" s="50">
        <f t="shared" si="26"/>
        <v>0</v>
      </c>
      <c r="P46" s="50">
        <f t="shared" si="26"/>
        <v>0</v>
      </c>
      <c r="Q46" s="50">
        <f t="shared" si="26"/>
        <v>0</v>
      </c>
      <c r="R46" s="51">
        <f>SUM(F46:Q46)</f>
        <v>0</v>
      </c>
      <c r="S46" s="50">
        <f>S42*S44</f>
        <v>0</v>
      </c>
      <c r="T46" s="50">
        <f>T42*T44</f>
        <v>0</v>
      </c>
      <c r="U46" s="52">
        <f>U42*U44</f>
        <v>0</v>
      </c>
    </row>
    <row r="47" spans="1:21" ht="15.75" customHeight="1" thickTop="1">
      <c r="A47" s="296">
        <v>8</v>
      </c>
      <c r="B47" s="299"/>
      <c r="C47" s="300"/>
      <c r="D47" s="32" t="s">
        <v>133</v>
      </c>
      <c r="E47" s="42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9">
        <f>SUM(F47:Q47)</f>
        <v>0</v>
      </c>
      <c r="S47" s="208"/>
      <c r="T47" s="208"/>
      <c r="U47" s="210"/>
    </row>
    <row r="48" spans="1:21" ht="15.75" customHeight="1">
      <c r="A48" s="297"/>
      <c r="B48" s="301"/>
      <c r="C48" s="301"/>
      <c r="D48" s="33" t="s">
        <v>115</v>
      </c>
      <c r="E48" s="43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50"/>
    </row>
    <row r="49" spans="1:21" ht="15.75" customHeight="1">
      <c r="A49" s="297"/>
      <c r="B49" s="301"/>
      <c r="C49" s="301"/>
      <c r="D49" s="28" t="s">
        <v>145</v>
      </c>
      <c r="E49" s="40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</row>
    <row r="50" spans="1:21" ht="39" customHeight="1">
      <c r="A50" s="297"/>
      <c r="B50" s="34" t="s">
        <v>134</v>
      </c>
      <c r="C50" s="34" t="s">
        <v>142</v>
      </c>
      <c r="D50" s="10" t="s">
        <v>175</v>
      </c>
      <c r="E50" s="40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4"/>
    </row>
    <row r="51" spans="1:21" ht="15.75" customHeight="1" thickBot="1">
      <c r="A51" s="298"/>
      <c r="B51" s="35"/>
      <c r="C51" s="35"/>
      <c r="D51" s="31" t="s">
        <v>137</v>
      </c>
      <c r="E51" s="44">
        <f>E47*E49</f>
        <v>0</v>
      </c>
      <c r="F51" s="50">
        <f aca="true" t="shared" si="27" ref="F51:Q51">F47*F49</f>
        <v>0</v>
      </c>
      <c r="G51" s="50">
        <f t="shared" si="27"/>
        <v>0</v>
      </c>
      <c r="H51" s="50">
        <f t="shared" si="27"/>
        <v>0</v>
      </c>
      <c r="I51" s="50">
        <f t="shared" si="27"/>
        <v>0</v>
      </c>
      <c r="J51" s="50">
        <f t="shared" si="27"/>
        <v>0</v>
      </c>
      <c r="K51" s="50">
        <f t="shared" si="27"/>
        <v>0</v>
      </c>
      <c r="L51" s="50">
        <f t="shared" si="27"/>
        <v>0</v>
      </c>
      <c r="M51" s="50">
        <f t="shared" si="27"/>
        <v>0</v>
      </c>
      <c r="N51" s="50">
        <f t="shared" si="27"/>
        <v>0</v>
      </c>
      <c r="O51" s="50">
        <f t="shared" si="27"/>
        <v>0</v>
      </c>
      <c r="P51" s="50">
        <f t="shared" si="27"/>
        <v>0</v>
      </c>
      <c r="Q51" s="50">
        <f t="shared" si="27"/>
        <v>0</v>
      </c>
      <c r="R51" s="51">
        <f>SUM(F51:Q51)</f>
        <v>0</v>
      </c>
      <c r="S51" s="50">
        <f>S47*S49</f>
        <v>0</v>
      </c>
      <c r="T51" s="50">
        <f>T47*T49</f>
        <v>0</v>
      </c>
      <c r="U51" s="52">
        <f>U47*U49</f>
        <v>0</v>
      </c>
    </row>
    <row r="52" spans="1:21" ht="15.75" customHeight="1" thickTop="1">
      <c r="A52" s="296">
        <v>9</v>
      </c>
      <c r="B52" s="299"/>
      <c r="C52" s="300"/>
      <c r="D52" s="32" t="s">
        <v>133</v>
      </c>
      <c r="E52" s="42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9">
        <f>SUM(F52:Q52)</f>
        <v>0</v>
      </c>
      <c r="S52" s="208"/>
      <c r="T52" s="208"/>
      <c r="U52" s="210"/>
    </row>
    <row r="53" spans="1:21" ht="15.75" customHeight="1">
      <c r="A53" s="297"/>
      <c r="B53" s="301"/>
      <c r="C53" s="301"/>
      <c r="D53" s="33" t="s">
        <v>115</v>
      </c>
      <c r="E53" s="43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1:21" ht="15.75" customHeight="1">
      <c r="A54" s="297"/>
      <c r="B54" s="301"/>
      <c r="C54" s="301"/>
      <c r="D54" s="28" t="s">
        <v>145</v>
      </c>
      <c r="E54" s="40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4"/>
    </row>
    <row r="55" spans="1:21" ht="33" customHeight="1">
      <c r="A55" s="297"/>
      <c r="B55" s="34" t="s">
        <v>134</v>
      </c>
      <c r="C55" s="34" t="s">
        <v>142</v>
      </c>
      <c r="D55" s="10" t="s">
        <v>175</v>
      </c>
      <c r="E55" s="40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</row>
    <row r="56" spans="1:21" ht="15.75" customHeight="1" thickBot="1">
      <c r="A56" s="298"/>
      <c r="B56" s="35"/>
      <c r="C56" s="35"/>
      <c r="D56" s="31" t="s">
        <v>138</v>
      </c>
      <c r="E56" s="44">
        <f>E52*E54</f>
        <v>0</v>
      </c>
      <c r="F56" s="50">
        <f aca="true" t="shared" si="28" ref="F56:Q56">F52*F54</f>
        <v>0</v>
      </c>
      <c r="G56" s="50">
        <f t="shared" si="28"/>
        <v>0</v>
      </c>
      <c r="H56" s="50">
        <f t="shared" si="28"/>
        <v>0</v>
      </c>
      <c r="I56" s="50">
        <f t="shared" si="28"/>
        <v>0</v>
      </c>
      <c r="J56" s="50">
        <f t="shared" si="28"/>
        <v>0</v>
      </c>
      <c r="K56" s="50">
        <f t="shared" si="28"/>
        <v>0</v>
      </c>
      <c r="L56" s="50">
        <f t="shared" si="28"/>
        <v>0</v>
      </c>
      <c r="M56" s="50">
        <f t="shared" si="28"/>
        <v>0</v>
      </c>
      <c r="N56" s="50">
        <f t="shared" si="28"/>
        <v>0</v>
      </c>
      <c r="O56" s="50">
        <f t="shared" si="28"/>
        <v>0</v>
      </c>
      <c r="P56" s="50">
        <f t="shared" si="28"/>
        <v>0</v>
      </c>
      <c r="Q56" s="50">
        <f t="shared" si="28"/>
        <v>0</v>
      </c>
      <c r="R56" s="51">
        <f>SUM(F56:Q56)</f>
        <v>0</v>
      </c>
      <c r="S56" s="50">
        <f>S52*S54</f>
        <v>0</v>
      </c>
      <c r="T56" s="50">
        <f>T52*T54</f>
        <v>0</v>
      </c>
      <c r="U56" s="52">
        <f>U52*U54</f>
        <v>0</v>
      </c>
    </row>
    <row r="57" spans="1:21" ht="15.75" customHeight="1" thickTop="1">
      <c r="A57" s="296">
        <v>10</v>
      </c>
      <c r="B57" s="299"/>
      <c r="C57" s="300"/>
      <c r="D57" s="32" t="s">
        <v>133</v>
      </c>
      <c r="E57" s="42"/>
      <c r="F57" s="211"/>
      <c r="G57" s="211"/>
      <c r="H57" s="211"/>
      <c r="I57" s="211"/>
      <c r="J57" s="208"/>
      <c r="K57" s="208"/>
      <c r="L57" s="208"/>
      <c r="M57" s="208"/>
      <c r="N57" s="208"/>
      <c r="O57" s="208"/>
      <c r="P57" s="208"/>
      <c r="Q57" s="208"/>
      <c r="R57" s="209">
        <f>SUM(F57:Q57)</f>
        <v>0</v>
      </c>
      <c r="S57" s="208"/>
      <c r="T57" s="208"/>
      <c r="U57" s="210"/>
    </row>
    <row r="58" spans="1:21" ht="15.75" customHeight="1">
      <c r="A58" s="297"/>
      <c r="B58" s="301"/>
      <c r="C58" s="301"/>
      <c r="D58" s="33" t="s">
        <v>115</v>
      </c>
      <c r="E58" s="43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50"/>
    </row>
    <row r="59" spans="1:21" ht="15.75" customHeight="1">
      <c r="A59" s="297"/>
      <c r="B59" s="301"/>
      <c r="C59" s="301"/>
      <c r="D59" s="28" t="s">
        <v>145</v>
      </c>
      <c r="E59" s="40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4"/>
    </row>
    <row r="60" spans="1:21" ht="36" customHeight="1">
      <c r="A60" s="297"/>
      <c r="B60" s="34" t="s">
        <v>134</v>
      </c>
      <c r="C60" s="34" t="s">
        <v>142</v>
      </c>
      <c r="D60" s="10" t="s">
        <v>175</v>
      </c>
      <c r="E60" s="40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4"/>
    </row>
    <row r="61" spans="1:21" ht="15.75" customHeight="1" thickBot="1">
      <c r="A61" s="298"/>
      <c r="B61" s="35"/>
      <c r="C61" s="35"/>
      <c r="D61" s="31" t="s">
        <v>139</v>
      </c>
      <c r="E61" s="44">
        <f>E57*E59</f>
        <v>0</v>
      </c>
      <c r="F61" s="50">
        <f aca="true" t="shared" si="29" ref="F61:Q61">F57*F59</f>
        <v>0</v>
      </c>
      <c r="G61" s="50">
        <f t="shared" si="29"/>
        <v>0</v>
      </c>
      <c r="H61" s="50">
        <f t="shared" si="29"/>
        <v>0</v>
      </c>
      <c r="I61" s="50">
        <f t="shared" si="29"/>
        <v>0</v>
      </c>
      <c r="J61" s="50">
        <f t="shared" si="29"/>
        <v>0</v>
      </c>
      <c r="K61" s="50">
        <f t="shared" si="29"/>
        <v>0</v>
      </c>
      <c r="L61" s="50">
        <f t="shared" si="29"/>
        <v>0</v>
      </c>
      <c r="M61" s="50">
        <f t="shared" si="29"/>
        <v>0</v>
      </c>
      <c r="N61" s="50">
        <f t="shared" si="29"/>
        <v>0</v>
      </c>
      <c r="O61" s="50">
        <f t="shared" si="29"/>
        <v>0</v>
      </c>
      <c r="P61" s="50">
        <f t="shared" si="29"/>
        <v>0</v>
      </c>
      <c r="Q61" s="50">
        <f t="shared" si="29"/>
        <v>0</v>
      </c>
      <c r="R61" s="51">
        <f>SUM(F61:Q61)</f>
        <v>0</v>
      </c>
      <c r="S61" s="50">
        <f>S57*S59</f>
        <v>0</v>
      </c>
      <c r="T61" s="50">
        <f>T57*T59</f>
        <v>0</v>
      </c>
      <c r="U61" s="52">
        <f>U57*U59</f>
        <v>0</v>
      </c>
    </row>
    <row r="62" ht="15.75" customHeight="1" thickTop="1"/>
  </sheetData>
  <sheetProtection password="C868" sheet="1"/>
  <mergeCells count="21">
    <mergeCell ref="B1:D1"/>
    <mergeCell ref="B22:C24"/>
    <mergeCell ref="A17:A21"/>
    <mergeCell ref="A22:A26"/>
    <mergeCell ref="B12:C14"/>
    <mergeCell ref="B17:C19"/>
    <mergeCell ref="A12:A16"/>
    <mergeCell ref="B27:C29"/>
    <mergeCell ref="A32:A36"/>
    <mergeCell ref="B32:C34"/>
    <mergeCell ref="A37:A41"/>
    <mergeCell ref="B37:C39"/>
    <mergeCell ref="A27:A31"/>
    <mergeCell ref="A57:A61"/>
    <mergeCell ref="B57:C59"/>
    <mergeCell ref="A42:A46"/>
    <mergeCell ref="B42:C44"/>
    <mergeCell ref="A47:A51"/>
    <mergeCell ref="B47:C49"/>
    <mergeCell ref="A52:A56"/>
    <mergeCell ref="B52:C54"/>
  </mergeCells>
  <printOptions/>
  <pageMargins left="0.3937007874015748" right="0.1968503937007874" top="0.7086614173228347" bottom="0.5118110236220472" header="0" footer="0"/>
  <pageSetup horizontalDpi="600" verticalDpi="600" orientation="landscape" paperSize="9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view="pageBreakPreview" zoomScaleSheetLayoutView="100" zoomScalePageLayoutView="0" workbookViewId="0" topLeftCell="A1">
      <pane xSplit="1" ySplit="6" topLeftCell="J7" activePane="bottomRight" state="frozen"/>
      <selection pane="topLeft" activeCell="A1" sqref="A1"/>
      <selection pane="topRight" activeCell="A1" sqref="A1"/>
      <selection pane="bottomLeft" activeCell="A7" sqref="A7"/>
      <selection pane="bottomRight" activeCell="L27" sqref="L27"/>
    </sheetView>
  </sheetViews>
  <sheetFormatPr defaultColWidth="9.140625" defaultRowHeight="12.75"/>
  <cols>
    <col min="1" max="1" width="46.8515625" style="56" customWidth="1"/>
    <col min="2" max="2" width="20.140625" style="113" customWidth="1"/>
    <col min="3" max="3" width="18.00390625" style="113" customWidth="1"/>
    <col min="4" max="4" width="17.140625" style="113" customWidth="1"/>
    <col min="5" max="5" width="16.8515625" style="113" customWidth="1"/>
    <col min="6" max="6" width="16.7109375" style="113" customWidth="1"/>
    <col min="7" max="7" width="24.57421875" style="113" customWidth="1"/>
    <col min="8" max="8" width="28.28125" style="113" customWidth="1"/>
    <col min="9" max="9" width="23.8515625" style="113" customWidth="1"/>
    <col min="10" max="10" width="26.7109375" style="113" customWidth="1"/>
    <col min="11" max="11" width="27.421875" style="113" customWidth="1"/>
    <col min="12" max="12" width="27.140625" style="113" customWidth="1"/>
    <col min="13" max="13" width="27.7109375" style="113" customWidth="1"/>
    <col min="14" max="14" width="27.00390625" style="113" customWidth="1"/>
    <col min="15" max="15" width="23.7109375" style="154" customWidth="1"/>
    <col min="16" max="16" width="22.140625" style="154" customWidth="1"/>
    <col min="17" max="17" width="20.421875" style="201" customWidth="1"/>
    <col min="18" max="18" width="7.7109375" style="56" customWidth="1"/>
    <col min="19" max="16384" width="9.140625" style="56" customWidth="1"/>
  </cols>
  <sheetData>
    <row r="1" spans="1:17" s="171" customFormat="1" ht="11.25">
      <c r="A1" s="170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97" t="s">
        <v>50</v>
      </c>
      <c r="O1" s="197" t="s">
        <v>1</v>
      </c>
      <c r="P1" s="197" t="s">
        <v>2</v>
      </c>
      <c r="Q1" s="197" t="s">
        <v>116</v>
      </c>
    </row>
    <row r="2" spans="1:17" s="196" customFormat="1" ht="11.25">
      <c r="A2" s="57"/>
      <c r="B2" s="195" t="s">
        <v>227</v>
      </c>
      <c r="C2" s="195" t="s">
        <v>228</v>
      </c>
      <c r="D2" s="195" t="s">
        <v>229</v>
      </c>
      <c r="E2" s="195" t="s">
        <v>230</v>
      </c>
      <c r="F2" s="195" t="s">
        <v>231</v>
      </c>
      <c r="G2" s="195" t="s">
        <v>232</v>
      </c>
      <c r="H2" s="195" t="s">
        <v>233</v>
      </c>
      <c r="I2" s="195" t="s">
        <v>234</v>
      </c>
      <c r="J2" s="195" t="s">
        <v>235</v>
      </c>
      <c r="K2" s="195" t="s">
        <v>236</v>
      </c>
      <c r="L2" s="195" t="s">
        <v>237</v>
      </c>
      <c r="M2" s="195" t="s">
        <v>238</v>
      </c>
      <c r="N2" s="274" t="s">
        <v>239</v>
      </c>
      <c r="O2" s="274" t="s">
        <v>239</v>
      </c>
      <c r="P2" s="274" t="s">
        <v>239</v>
      </c>
      <c r="Q2" s="274" t="s">
        <v>239</v>
      </c>
    </row>
    <row r="3" spans="1:17" s="60" customFormat="1" ht="11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98"/>
      <c r="O3" s="198"/>
      <c r="P3" s="198"/>
      <c r="Q3" s="198"/>
    </row>
    <row r="4" spans="1:17" s="64" customFormat="1" ht="11.25">
      <c r="A4" s="222" t="s">
        <v>3</v>
      </c>
      <c r="B4" s="61">
        <f>Bilanss!B6</f>
        <v>0</v>
      </c>
      <c r="C4" s="62">
        <f aca="true" t="shared" si="0" ref="C4:L4">B87</f>
        <v>0</v>
      </c>
      <c r="D4" s="62">
        <f t="shared" si="0"/>
        <v>0</v>
      </c>
      <c r="E4" s="62">
        <f t="shared" si="0"/>
        <v>0</v>
      </c>
      <c r="F4" s="62">
        <f t="shared" si="0"/>
        <v>0</v>
      </c>
      <c r="G4" s="62">
        <f t="shared" si="0"/>
        <v>0</v>
      </c>
      <c r="H4" s="62">
        <f t="shared" si="0"/>
        <v>0</v>
      </c>
      <c r="I4" s="62">
        <f t="shared" si="0"/>
        <v>0</v>
      </c>
      <c r="J4" s="62">
        <f t="shared" si="0"/>
        <v>0</v>
      </c>
      <c r="K4" s="63">
        <f t="shared" si="0"/>
        <v>0</v>
      </c>
      <c r="L4" s="63">
        <f t="shared" si="0"/>
        <v>0</v>
      </c>
      <c r="M4" s="63">
        <f>L87</f>
        <v>0</v>
      </c>
      <c r="N4" s="277">
        <f>B4</f>
        <v>0</v>
      </c>
      <c r="O4" s="277">
        <f>N87</f>
        <v>0</v>
      </c>
      <c r="P4" s="277">
        <f>O87</f>
        <v>0</v>
      </c>
      <c r="Q4" s="277">
        <f>P87</f>
        <v>0</v>
      </c>
    </row>
    <row r="5" spans="1:17" s="64" customFormat="1" ht="11.25">
      <c r="A5" s="65"/>
      <c r="B5" s="66"/>
      <c r="C5" s="67"/>
      <c r="D5" s="67"/>
      <c r="E5" s="67"/>
      <c r="F5" s="67"/>
      <c r="G5" s="67"/>
      <c r="H5" s="67"/>
      <c r="I5" s="67"/>
      <c r="J5" s="67"/>
      <c r="K5" s="55"/>
      <c r="L5" s="55"/>
      <c r="M5" s="55"/>
      <c r="N5" s="278"/>
      <c r="O5" s="278"/>
      <c r="P5" s="278"/>
      <c r="Q5" s="278"/>
    </row>
    <row r="6" spans="1:17" s="70" customFormat="1" ht="11.25">
      <c r="A6" s="68"/>
      <c r="B6" s="69">
        <f>IF(B7&gt;0,1,0)</f>
        <v>0</v>
      </c>
      <c r="C6" s="69">
        <f aca="true" t="shared" si="1" ref="C6:M6">IF(C7&gt;0,1,0)</f>
        <v>0</v>
      </c>
      <c r="D6" s="69">
        <f t="shared" si="1"/>
        <v>0</v>
      </c>
      <c r="E6" s="69">
        <f t="shared" si="1"/>
        <v>0</v>
      </c>
      <c r="F6" s="69">
        <f t="shared" si="1"/>
        <v>0</v>
      </c>
      <c r="G6" s="69">
        <f t="shared" si="1"/>
        <v>0</v>
      </c>
      <c r="H6" s="69">
        <f t="shared" si="1"/>
        <v>0</v>
      </c>
      <c r="I6" s="69">
        <f t="shared" si="1"/>
        <v>0</v>
      </c>
      <c r="J6" s="69">
        <f t="shared" si="1"/>
        <v>0</v>
      </c>
      <c r="K6" s="69">
        <f t="shared" si="1"/>
        <v>0</v>
      </c>
      <c r="L6" s="69">
        <f t="shared" si="1"/>
        <v>0</v>
      </c>
      <c r="M6" s="69">
        <f t="shared" si="1"/>
        <v>0</v>
      </c>
      <c r="N6" s="279">
        <f>SUM(B6:M6)</f>
        <v>0</v>
      </c>
      <c r="O6" s="280"/>
      <c r="P6" s="280"/>
      <c r="Q6" s="280"/>
    </row>
    <row r="7" spans="1:17" s="73" customFormat="1" ht="11.25">
      <c r="A7" s="71" t="s">
        <v>107</v>
      </c>
      <c r="B7" s="72">
        <f>Tooted!F3</f>
        <v>0</v>
      </c>
      <c r="C7" s="72">
        <f>Tooted!G3</f>
        <v>0</v>
      </c>
      <c r="D7" s="72">
        <f>Tooted!H3</f>
        <v>0</v>
      </c>
      <c r="E7" s="72">
        <f>Tooted!I3</f>
        <v>0</v>
      </c>
      <c r="F7" s="72">
        <f>Tooted!J3</f>
        <v>0</v>
      </c>
      <c r="G7" s="72">
        <f>Tooted!K3</f>
        <v>0</v>
      </c>
      <c r="H7" s="72">
        <f>Tooted!L3</f>
        <v>0</v>
      </c>
      <c r="I7" s="72">
        <f>Tooted!M3</f>
        <v>0</v>
      </c>
      <c r="J7" s="72">
        <f>Tooted!N3</f>
        <v>0</v>
      </c>
      <c r="K7" s="72">
        <f>Tooted!O3</f>
        <v>0</v>
      </c>
      <c r="L7" s="72">
        <f>Tooted!P3</f>
        <v>0</v>
      </c>
      <c r="M7" s="72">
        <f>Tooted!Q3</f>
        <v>0</v>
      </c>
      <c r="N7" s="281">
        <f>SUM(B7:M7)</f>
        <v>0</v>
      </c>
      <c r="O7" s="281">
        <f>Tooted!S3</f>
        <v>0</v>
      </c>
      <c r="P7" s="281">
        <f>Tooted!T3</f>
        <v>0</v>
      </c>
      <c r="Q7" s="281">
        <f>Tooted!U3</f>
        <v>0</v>
      </c>
    </row>
    <row r="8" spans="1:17" s="73" customFormat="1" ht="11.25">
      <c r="A8" s="74" t="s">
        <v>115</v>
      </c>
      <c r="B8" s="218">
        <f>IF(B9&gt;0,B9/B7,0)</f>
        <v>0</v>
      </c>
      <c r="C8" s="218">
        <f aca="true" t="shared" si="2" ref="C8:M8">IF(C9&gt;0,C9/C7,0)</f>
        <v>0</v>
      </c>
      <c r="D8" s="218">
        <f t="shared" si="2"/>
        <v>0</v>
      </c>
      <c r="E8" s="218">
        <f t="shared" si="2"/>
        <v>0</v>
      </c>
      <c r="F8" s="218">
        <f t="shared" si="2"/>
        <v>0</v>
      </c>
      <c r="G8" s="218">
        <f t="shared" si="2"/>
        <v>0</v>
      </c>
      <c r="H8" s="218">
        <f t="shared" si="2"/>
        <v>0</v>
      </c>
      <c r="I8" s="218">
        <f t="shared" si="2"/>
        <v>0</v>
      </c>
      <c r="J8" s="218">
        <f t="shared" si="2"/>
        <v>0</v>
      </c>
      <c r="K8" s="218">
        <f t="shared" si="2"/>
        <v>0</v>
      </c>
      <c r="L8" s="218">
        <f t="shared" si="2"/>
        <v>0</v>
      </c>
      <c r="M8" s="218">
        <f t="shared" si="2"/>
        <v>0</v>
      </c>
      <c r="N8" s="282">
        <f>IF(N9&gt;0,N9/N7,0)</f>
        <v>0</v>
      </c>
      <c r="O8" s="282">
        <f>IF(O9&gt;0,O9/O7,0)</f>
        <v>0</v>
      </c>
      <c r="P8" s="282">
        <f>IF(P9&gt;0,P9/P7,0)</f>
        <v>0</v>
      </c>
      <c r="Q8" s="282">
        <f>IF(Q9&gt;0,Q9/Q7,0)</f>
        <v>0</v>
      </c>
    </row>
    <row r="9" spans="1:17" s="73" customFormat="1" ht="11.25">
      <c r="A9" s="74" t="s">
        <v>179</v>
      </c>
      <c r="B9" s="72">
        <f>Tooted!F10</f>
        <v>0</v>
      </c>
      <c r="C9" s="72">
        <f>Tooted!G10</f>
        <v>0</v>
      </c>
      <c r="D9" s="72">
        <f>Tooted!H10</f>
        <v>0</v>
      </c>
      <c r="E9" s="72">
        <f>Tooted!I10</f>
        <v>0</v>
      </c>
      <c r="F9" s="72">
        <f>Tooted!J10</f>
        <v>0</v>
      </c>
      <c r="G9" s="72">
        <f>Tooted!K10</f>
        <v>0</v>
      </c>
      <c r="H9" s="72">
        <f>Tooted!L10</f>
        <v>0</v>
      </c>
      <c r="I9" s="72">
        <f>Tooted!M10</f>
        <v>0</v>
      </c>
      <c r="J9" s="72">
        <f>Tooted!N10</f>
        <v>0</v>
      </c>
      <c r="K9" s="72">
        <f>Tooted!O10</f>
        <v>0</v>
      </c>
      <c r="L9" s="72">
        <f>Tooted!P10</f>
        <v>0</v>
      </c>
      <c r="M9" s="72">
        <f>Tooted!Q10</f>
        <v>0</v>
      </c>
      <c r="N9" s="281">
        <f>SUM(B9:M9)</f>
        <v>0</v>
      </c>
      <c r="O9" s="281">
        <f>Tooted!S10</f>
        <v>0</v>
      </c>
      <c r="P9" s="281">
        <f>Tooted!T10</f>
        <v>0</v>
      </c>
      <c r="Q9" s="281">
        <f>Tooted!U10</f>
        <v>0</v>
      </c>
    </row>
    <row r="10" spans="1:17" s="73" customFormat="1" ht="11.25">
      <c r="A10" s="75" t="s">
        <v>51</v>
      </c>
      <c r="B10" s="76">
        <f>Tooted!F2</f>
        <v>0</v>
      </c>
      <c r="C10" s="76">
        <f>Tooted!G2</f>
        <v>0</v>
      </c>
      <c r="D10" s="76">
        <f>Tooted!H2</f>
        <v>0</v>
      </c>
      <c r="E10" s="76">
        <f>Tooted!I2</f>
        <v>0</v>
      </c>
      <c r="F10" s="76">
        <f>Tooted!J2</f>
        <v>0</v>
      </c>
      <c r="G10" s="76">
        <f>Tooted!K2</f>
        <v>0</v>
      </c>
      <c r="H10" s="76">
        <f>Tooted!L2</f>
        <v>0</v>
      </c>
      <c r="I10" s="76">
        <f>Tooted!M2</f>
        <v>0</v>
      </c>
      <c r="J10" s="76">
        <f>Tooted!N2</f>
        <v>0</v>
      </c>
      <c r="K10" s="76">
        <f>Tooted!O2</f>
        <v>0</v>
      </c>
      <c r="L10" s="76">
        <f>Tooted!P2</f>
        <v>0</v>
      </c>
      <c r="M10" s="76">
        <f>Tooted!Q2</f>
        <v>0</v>
      </c>
      <c r="N10" s="283">
        <f>SUM(B10:M10)</f>
        <v>0</v>
      </c>
      <c r="O10" s="283">
        <f>Tooted!S2</f>
        <v>0</v>
      </c>
      <c r="P10" s="283">
        <f>Tooted!T2</f>
        <v>0</v>
      </c>
      <c r="Q10" s="283">
        <f>Tooted!U2</f>
        <v>0</v>
      </c>
    </row>
    <row r="11" spans="1:17" s="73" customFormat="1" ht="11.25">
      <c r="A11" s="75" t="s">
        <v>52</v>
      </c>
      <c r="B11" s="76">
        <f>Tooted!F4</f>
        <v>0</v>
      </c>
      <c r="C11" s="76">
        <f>Tooted!G4</f>
        <v>0</v>
      </c>
      <c r="D11" s="76">
        <f>Tooted!H4</f>
        <v>0</v>
      </c>
      <c r="E11" s="76">
        <f>Tooted!I4</f>
        <v>0</v>
      </c>
      <c r="F11" s="76">
        <f>Tooted!J4</f>
        <v>0</v>
      </c>
      <c r="G11" s="76">
        <f>Tooted!K4</f>
        <v>0</v>
      </c>
      <c r="H11" s="76">
        <f>Tooted!L4</f>
        <v>0</v>
      </c>
      <c r="I11" s="76">
        <f>Tooted!M4</f>
        <v>0</v>
      </c>
      <c r="J11" s="76">
        <f>Tooted!N4</f>
        <v>0</v>
      </c>
      <c r="K11" s="76">
        <f>Tooted!O4</f>
        <v>0</v>
      </c>
      <c r="L11" s="76">
        <f>Tooted!P4</f>
        <v>0</v>
      </c>
      <c r="M11" s="76">
        <f>Tooted!Q4</f>
        <v>0</v>
      </c>
      <c r="N11" s="283">
        <f>IF(N7&gt;0,N7/N10,0)</f>
        <v>0</v>
      </c>
      <c r="O11" s="283">
        <f>Tooted!S4</f>
        <v>0</v>
      </c>
      <c r="P11" s="283">
        <f>Tooted!T4</f>
        <v>0</v>
      </c>
      <c r="Q11" s="283">
        <f>Tooted!U4</f>
        <v>0</v>
      </c>
    </row>
    <row r="12" spans="1:17" s="79" customFormat="1" ht="11.2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84"/>
      <c r="O12" s="284"/>
      <c r="P12" s="284"/>
      <c r="Q12" s="284"/>
    </row>
    <row r="13" spans="1:17" s="79" customFormat="1" ht="11.25">
      <c r="A13" s="80" t="s">
        <v>24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284"/>
      <c r="O13" s="284"/>
      <c r="P13" s="284"/>
      <c r="Q13" s="284"/>
    </row>
    <row r="14" spans="1:17" s="79" customFormat="1" ht="11.25">
      <c r="A14" s="71" t="s">
        <v>108</v>
      </c>
      <c r="B14" s="81">
        <f>B7-(B7*'Algandmed '!$B3/100)</f>
        <v>0</v>
      </c>
      <c r="C14" s="81">
        <f>IF(C7&gt;0,(C7-(C7*'Algandmed '!$B3/100)+(B7*'Algandmed '!$B3/100)),(B7*'Algandmed '!$B3/100))</f>
        <v>0</v>
      </c>
      <c r="D14" s="81">
        <f>IF(D7&gt;0,(D7-(D7*'Algandmed '!$B3/100)+(C7*'Algandmed '!$B3/100)),(C7*'Algandmed '!$B3/100))</f>
        <v>0</v>
      </c>
      <c r="E14" s="81">
        <f>IF(E7&gt;0,(E7-(E7*'Algandmed '!$B3/100)+(D7*'Algandmed '!$B3/100)),(D7*'Algandmed '!$B3/100))</f>
        <v>0</v>
      </c>
      <c r="F14" s="81">
        <f>IF(F7&gt;0,(F7-(F7*'Algandmed '!$B3/100)+(E7*'Algandmed '!$B3/100)),(E7*'Algandmed '!$B3/100))</f>
        <v>0</v>
      </c>
      <c r="G14" s="81">
        <f>IF(G7&gt;0,(G7-(G7*'Algandmed '!$B3/100)+(F7*'Algandmed '!$B3/100)),(F7*'Algandmed '!$B3/100))</f>
        <v>0</v>
      </c>
      <c r="H14" s="81">
        <f>IF(H7&gt;0,(H7-(H7*'Algandmed '!$B3/100)+(G7*'Algandmed '!$B3/100)),(G7*'Algandmed '!$B3/100))</f>
        <v>0</v>
      </c>
      <c r="I14" s="81">
        <f>IF(I7&gt;0,(I7-(I7*'Algandmed '!$B3/100)+(H7*'Algandmed '!$B3/100)),(H7*'Algandmed '!$B3/100))</f>
        <v>0</v>
      </c>
      <c r="J14" s="81">
        <f>IF(J7&gt;0,(J7-(J7*'Algandmed '!$B3/100)+(I7*'Algandmed '!$B3/100)),(I7*'Algandmed '!$B3/100))</f>
        <v>0</v>
      </c>
      <c r="K14" s="81">
        <f>IF(K7&gt;0,(K7-(K7*'Algandmed '!$B3/100)+(J7*'Algandmed '!$B3/100)),(J7*'Algandmed '!$B3/100))</f>
        <v>0</v>
      </c>
      <c r="L14" s="81">
        <f>IF(L7&gt;0,(L7-(L7*'Algandmed '!$B3/100)+(K7*'Algandmed '!$B3/100)),(K7*'Algandmed '!$B3/100))</f>
        <v>0</v>
      </c>
      <c r="M14" s="81">
        <f>IF(M7&gt;0,(M7-(M7*'Algandmed '!$B3/100)+(L7*'Algandmed '!$B3/100)),(L7*'Algandmed '!$B3/100))</f>
        <v>0</v>
      </c>
      <c r="N14" s="285">
        <f aca="true" t="shared" si="3" ref="N14:N23">SUM(B14:M14)</f>
        <v>0</v>
      </c>
      <c r="O14" s="285">
        <f>(M7*'Algandmed '!$B3/100)+O7/12*11+((O7/12)*(1-'Algandmed '!$C3/100))</f>
        <v>0</v>
      </c>
      <c r="P14" s="285">
        <f>P7/12*11+(P7/12-((P7/12)*'Algandmed '!$C3/100)+((O7/12)*'Algandmed '!$D3/100))</f>
        <v>0</v>
      </c>
      <c r="Q14" s="285">
        <f>Q7/12*11+(Q7/12-((Q7/12)*'Algandmed '!$D3/100)+((P7/12)*'Algandmed '!$E3/100))</f>
        <v>0</v>
      </c>
    </row>
    <row r="15" spans="1:17" s="79" customFormat="1" ht="11.25">
      <c r="A15" s="82" t="s">
        <v>124</v>
      </c>
      <c r="B15" s="81">
        <f>IF('Algandmed '!$B2="jah",B14*B8,0)</f>
        <v>0</v>
      </c>
      <c r="C15" s="81">
        <f>IF('Algandmed '!$B2="jah",C14*C8,0)</f>
        <v>0</v>
      </c>
      <c r="D15" s="81">
        <f>IF('Algandmed '!$B2="jah",D14*D8,0)</f>
        <v>0</v>
      </c>
      <c r="E15" s="81">
        <f>IF('Algandmed '!$B2="jah",E14*E8,0)</f>
        <v>0</v>
      </c>
      <c r="F15" s="81">
        <f>IF('Algandmed '!$B2="jah",F14*F8,0)</f>
        <v>0</v>
      </c>
      <c r="G15" s="81">
        <f>IF('Algandmed '!$B2="jah",G14*G8,0)</f>
        <v>0</v>
      </c>
      <c r="H15" s="81">
        <f>IF('Algandmed '!$B2="jah",H14*H8,0)</f>
        <v>0</v>
      </c>
      <c r="I15" s="81">
        <f>IF('Algandmed '!$B2="jah",I14*I8,0)</f>
        <v>0</v>
      </c>
      <c r="J15" s="81">
        <f>IF('Algandmed '!$B2="jah",J14*J8,0)</f>
        <v>0</v>
      </c>
      <c r="K15" s="81">
        <f>IF('Algandmed '!$B2="jah",K14*K8,0)</f>
        <v>0</v>
      </c>
      <c r="L15" s="81">
        <f>IF('Algandmed '!$B2="jah",L14*L8,0)</f>
        <v>0</v>
      </c>
      <c r="M15" s="81">
        <f>IF('Algandmed '!$B2="jah",M14*M8,0)</f>
        <v>0</v>
      </c>
      <c r="N15" s="285">
        <f t="shared" si="3"/>
        <v>0</v>
      </c>
      <c r="O15" s="285">
        <f>IF('Algandmed '!C2="jah",O14*O8,0)</f>
        <v>0</v>
      </c>
      <c r="P15" s="285">
        <f>IF('Algandmed '!D2="jah",P14*P8,0)</f>
        <v>0</v>
      </c>
      <c r="Q15" s="285">
        <f>IF('Algandmed '!E2="jah",Q14*Q8,0)</f>
        <v>0</v>
      </c>
    </row>
    <row r="16" spans="1:17" s="79" customFormat="1" ht="11.25">
      <c r="A16" s="82" t="s">
        <v>172</v>
      </c>
      <c r="B16" s="81">
        <f>IF('Algandmed '!$B2="jah",Tooted!F9-Tooted!F9*'Algandmed '!$B3/100,0)</f>
        <v>0</v>
      </c>
      <c r="C16" s="81">
        <f>IF('Algandmed '!$B2="jah",Tooted!G9-Tooted!G9*'Algandmed '!$B3/100+Tooted!F9*'Algandmed '!$B3/100,0)</f>
        <v>0</v>
      </c>
      <c r="D16" s="81">
        <f>IF('Algandmed '!$B2="jah",Tooted!H9-Tooted!H9*'Algandmed '!$B3/100+Tooted!G9*'Algandmed '!$B3/100,0)</f>
        <v>0</v>
      </c>
      <c r="E16" s="81">
        <f>IF('Algandmed '!$B2="jah",Tooted!I9-Tooted!I9*'Algandmed '!$B3/100+Tooted!H9*'Algandmed '!$B3/100,0)</f>
        <v>0</v>
      </c>
      <c r="F16" s="81">
        <f>IF('Algandmed '!$B2="jah",Tooted!J9-Tooted!J9*'Algandmed '!$B3/100+Tooted!I9*'Algandmed '!$B3/100,0)</f>
        <v>0</v>
      </c>
      <c r="G16" s="81">
        <f>IF('Algandmed '!$B2="jah",Tooted!K9-Tooted!K9*'Algandmed '!$B3/100+Tooted!J9*'Algandmed '!$B3/100,0)</f>
        <v>0</v>
      </c>
      <c r="H16" s="81">
        <f>IF('Algandmed '!$B2="jah",Tooted!L9-Tooted!L9*'Algandmed '!$B3/100+Tooted!K9*'Algandmed '!$B3/100,0)</f>
        <v>0</v>
      </c>
      <c r="I16" s="81">
        <f>IF('Algandmed '!$B2="jah",Tooted!M9-Tooted!M9*'Algandmed '!$B3/100+Tooted!L9*'Algandmed '!$B3/100,0)</f>
        <v>0</v>
      </c>
      <c r="J16" s="81">
        <f>IF('Algandmed '!$B2="jah",Tooted!N9-Tooted!N9*'Algandmed '!$B3/100+Tooted!M9*'Algandmed '!$B3/100,0)</f>
        <v>0</v>
      </c>
      <c r="K16" s="81">
        <f>IF('Algandmed '!$B2="jah",Tooted!O9-Tooted!O9*'Algandmed '!$B3/100+Tooted!N9*'Algandmed '!$B3/100,0)</f>
        <v>0</v>
      </c>
      <c r="L16" s="81">
        <f>IF('Algandmed '!$B2="jah",Tooted!P9-Tooted!P9*'Algandmed '!$B3/100+Tooted!O9*'Algandmed '!$B3/100,0)</f>
        <v>0</v>
      </c>
      <c r="M16" s="81">
        <f>IF('Algandmed '!$B2="jah",Tooted!Q9-Tooted!Q9*'Algandmed '!$B3/100+Tooted!P9*'Algandmed '!$B3/100,0)</f>
        <v>0</v>
      </c>
      <c r="N16" s="285">
        <f t="shared" si="3"/>
        <v>0</v>
      </c>
      <c r="O16" s="285">
        <f>IF('Algandmed '!C2="jah",Tooted!S9-Tooted!S9*'Algandmed '!C3/100+Tooted!Q9*'Algandmed '!B3/100,0)</f>
        <v>0</v>
      </c>
      <c r="P16" s="285">
        <f>IF('Algandmed '!D2="jah",Tooted!T9-Tooted!T9*'Algandmed '!D3/100+Tooted!S9*'Algandmed '!C3/100,0)</f>
        <v>0</v>
      </c>
      <c r="Q16" s="285">
        <f>IF('Algandmed '!E2="jah",Tooted!U9-Tooted!U9*'Algandmed '!E3/100+Tooted!T9*'Algandmed '!D3/100,0)</f>
        <v>0</v>
      </c>
    </row>
    <row r="17" spans="1:17" s="79" customFormat="1" ht="11.25">
      <c r="A17" s="82" t="s">
        <v>174</v>
      </c>
      <c r="B17" s="81">
        <f>IF(AND('Algandmed '!$B2="jah",SUM(B15:B16)&gt;=0),B14-SUM(B15:B16),0)</f>
        <v>0</v>
      </c>
      <c r="C17" s="81">
        <f>IF(AND('Algandmed '!$B2="jah",SUM(C15:C16)&gt;=0),C14-SUM(C15:C16),0)</f>
        <v>0</v>
      </c>
      <c r="D17" s="81">
        <f>IF(AND('Algandmed '!$B2="jah",SUM(D15:D16)&gt;=0),D14-SUM(D15:D16),0)</f>
        <v>0</v>
      </c>
      <c r="E17" s="81">
        <f>IF(AND('Algandmed '!$B2="jah",SUM(E15:E16)&gt;=0),E14-SUM(E15:E16),0)</f>
        <v>0</v>
      </c>
      <c r="F17" s="81">
        <f>IF(AND('Algandmed '!$B2="jah",SUM(F15:F16)&gt;=0),F14-SUM(F15:F16),0)</f>
        <v>0</v>
      </c>
      <c r="G17" s="81">
        <f>IF(AND('Algandmed '!$B2="jah",SUM(G15:G16)&gt;=0),G14-SUM(G15:G16),0)</f>
        <v>0</v>
      </c>
      <c r="H17" s="81">
        <f>IF(AND('Algandmed '!$B2="jah",SUM(H15:H16)&gt;=0),H14-SUM(H15:H16),0)</f>
        <v>0</v>
      </c>
      <c r="I17" s="81">
        <f>IF(AND('Algandmed '!$B2="jah",SUM(I15:I16)&gt;=0),I14-SUM(I15:I16),0)</f>
        <v>0</v>
      </c>
      <c r="J17" s="81">
        <f>IF(AND('Algandmed '!$B2="jah",SUM(J15:J16)&gt;=0),J14-SUM(J15:J16),0)</f>
        <v>0</v>
      </c>
      <c r="K17" s="81">
        <f>IF(AND('Algandmed '!$B2="jah",SUM(K15:K16)&gt;=0),K14-SUM(K15:K16),0)</f>
        <v>0</v>
      </c>
      <c r="L17" s="81">
        <f>IF(AND('Algandmed '!$B2="jah",SUM(L15:L16)&gt;=0),L14-SUM(L15:L16),0)</f>
        <v>0</v>
      </c>
      <c r="M17" s="81">
        <f>IF(AND('Algandmed '!$B2="jah",SUM(M15:M16)&gt;=0),M14-SUM(M15:M16),0)</f>
        <v>0</v>
      </c>
      <c r="N17" s="285">
        <f t="shared" si="3"/>
        <v>0</v>
      </c>
      <c r="O17" s="285">
        <f>IF(AND('Algandmed '!C2="jah",SUM(O15:O16)&gt;=0),O14-SUM(O15:O16),0)</f>
        <v>0</v>
      </c>
      <c r="P17" s="285">
        <f>IF(AND('Algandmed '!D2="jah",SUM(P15:P16)&gt;=0),P14-SUM(P15:P16),0)</f>
        <v>0</v>
      </c>
      <c r="Q17" s="285">
        <f>IF(AND('Algandmed '!E2="jah",SUM(Q15:Q16)&gt;=0),Q14-SUM(Q15:Q16),0)</f>
        <v>0</v>
      </c>
    </row>
    <row r="18" spans="1:17" s="73" customFormat="1" ht="11.25">
      <c r="A18" s="71" t="s">
        <v>5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285">
        <f t="shared" si="3"/>
        <v>0</v>
      </c>
      <c r="O18" s="286"/>
      <c r="P18" s="286"/>
      <c r="Q18" s="286"/>
    </row>
    <row r="19" spans="1:17" s="73" customFormat="1" ht="11.25">
      <c r="A19" s="84" t="s">
        <v>6</v>
      </c>
      <c r="B19" s="81">
        <f>IF('Algandmed '!$B2="jah",ROUND(B17*0.2+B16*0.09,0),0)</f>
        <v>0</v>
      </c>
      <c r="C19" s="81">
        <f>IF('Algandmed '!$B2="jah",ROUND(C17*0.2+C16*0.09,0),0)</f>
        <v>0</v>
      </c>
      <c r="D19" s="81">
        <f>IF('Algandmed '!$B2="jah",ROUND(D17*0.2+D16*0.09,0),0)</f>
        <v>0</v>
      </c>
      <c r="E19" s="81">
        <f>IF('Algandmed '!$B2="jah",ROUND(E17*0.2+E16*0.09,0),0)</f>
        <v>0</v>
      </c>
      <c r="F19" s="81">
        <f>IF('Algandmed '!$B2="jah",ROUND(F17*0.2+F16*0.09,0),0)</f>
        <v>0</v>
      </c>
      <c r="G19" s="81">
        <f>IF('Algandmed '!$B2="jah",ROUND(G17*0.2+G16*0.09,0),0)</f>
        <v>0</v>
      </c>
      <c r="H19" s="81">
        <f>IF('Algandmed '!$B2="jah",ROUND(H17*0.2+H16*0.09,0),0)</f>
        <v>0</v>
      </c>
      <c r="I19" s="81">
        <f>IF('Algandmed '!$B2="jah",ROUND(I17*0.2+I16*0.09,0),0)</f>
        <v>0</v>
      </c>
      <c r="J19" s="81">
        <f>IF('Algandmed '!$B2="jah",ROUND(J17*0.2+J16*0.09,0),0)</f>
        <v>0</v>
      </c>
      <c r="K19" s="81">
        <f>IF('Algandmed '!$B2="jah",ROUND(K17*0.2+K16*0.09,0),0)</f>
        <v>0</v>
      </c>
      <c r="L19" s="81">
        <f>IF('Algandmed '!$B2="jah",ROUND(L17*0.2+L16*0.09,0),0)</f>
        <v>0</v>
      </c>
      <c r="M19" s="81">
        <f>IF('Algandmed '!$B2="jah",ROUND(M17*0.2+M16*0.09,0),0)</f>
        <v>0</v>
      </c>
      <c r="N19" s="285">
        <f t="shared" si="3"/>
        <v>0</v>
      </c>
      <c r="O19" s="285">
        <f>IF('Algandmed '!$C2="jah",ROUND(O17*0.2+O16*0.09,0),0)</f>
        <v>0</v>
      </c>
      <c r="P19" s="285">
        <f>IF('Algandmed '!$D2="jah",ROUND(P17*0.2+P16*0.09,0),0)</f>
        <v>0</v>
      </c>
      <c r="Q19" s="285">
        <f>IF('Algandmed '!$E2="jah",ROUND(Q17*0.2+Q16*0.09,0),0)</f>
        <v>0</v>
      </c>
    </row>
    <row r="20" spans="1:17" s="73" customFormat="1" ht="11.25">
      <c r="A20" s="260" t="s">
        <v>7</v>
      </c>
      <c r="B20" s="85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285">
        <f t="shared" si="3"/>
        <v>0</v>
      </c>
      <c r="O20" s="286"/>
      <c r="P20" s="286"/>
      <c r="Q20" s="286"/>
    </row>
    <row r="21" spans="1:17" s="73" customFormat="1" ht="11.25">
      <c r="A21" s="260" t="s">
        <v>100</v>
      </c>
      <c r="B21" s="85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285">
        <f t="shared" si="3"/>
        <v>0</v>
      </c>
      <c r="O21" s="286"/>
      <c r="P21" s="286"/>
      <c r="Q21" s="286"/>
    </row>
    <row r="22" spans="1:17" s="73" customFormat="1" ht="15" customHeight="1">
      <c r="A22" s="260" t="s">
        <v>101</v>
      </c>
      <c r="B22" s="85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285">
        <f t="shared" si="3"/>
        <v>0</v>
      </c>
      <c r="O22" s="286"/>
      <c r="P22" s="286"/>
      <c r="Q22" s="286"/>
    </row>
    <row r="23" spans="1:17" s="73" customFormat="1" ht="11.25">
      <c r="A23" s="260" t="s">
        <v>110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285">
        <f t="shared" si="3"/>
        <v>0</v>
      </c>
      <c r="O23" s="286"/>
      <c r="P23" s="286"/>
      <c r="Q23" s="286"/>
    </row>
    <row r="24" spans="1:17" s="87" customFormat="1" ht="11.25">
      <c r="A24" s="86" t="s">
        <v>8</v>
      </c>
      <c r="B24" s="81">
        <f aca="true" t="shared" si="4" ref="B24:M24">B14+SUM(B18:B23)</f>
        <v>0</v>
      </c>
      <c r="C24" s="81">
        <f t="shared" si="4"/>
        <v>0</v>
      </c>
      <c r="D24" s="81">
        <f t="shared" si="4"/>
        <v>0</v>
      </c>
      <c r="E24" s="81">
        <f t="shared" si="4"/>
        <v>0</v>
      </c>
      <c r="F24" s="81">
        <f t="shared" si="4"/>
        <v>0</v>
      </c>
      <c r="G24" s="81">
        <f t="shared" si="4"/>
        <v>0</v>
      </c>
      <c r="H24" s="81">
        <f t="shared" si="4"/>
        <v>0</v>
      </c>
      <c r="I24" s="81">
        <f t="shared" si="4"/>
        <v>0</v>
      </c>
      <c r="J24" s="81">
        <f t="shared" si="4"/>
        <v>0</v>
      </c>
      <c r="K24" s="81">
        <f t="shared" si="4"/>
        <v>0</v>
      </c>
      <c r="L24" s="81">
        <f t="shared" si="4"/>
        <v>0</v>
      </c>
      <c r="M24" s="81">
        <f t="shared" si="4"/>
        <v>0</v>
      </c>
      <c r="N24" s="285">
        <f>IF((SUM(N14:N23)-SUM(N15:N17))=SUM(B24:M24),SUM(B24:M24),"viga")</f>
        <v>0</v>
      </c>
      <c r="O24" s="285">
        <f>SUM(O14:O23)-SUM(O15:O17)</f>
        <v>0</v>
      </c>
      <c r="P24" s="285">
        <f>SUM(P14:P23)-SUM(P15:P17)</f>
        <v>0</v>
      </c>
      <c r="Q24" s="285">
        <f>SUM(Q14:Q23)-SUM(Q15:Q17)</f>
        <v>0</v>
      </c>
    </row>
    <row r="25" spans="1:17" s="90" customFormat="1" ht="11.25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287"/>
      <c r="O25" s="287"/>
      <c r="P25" s="287"/>
      <c r="Q25" s="287"/>
    </row>
    <row r="26" spans="1:17" ht="11.25">
      <c r="A26" s="80" t="s">
        <v>25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288"/>
      <c r="O26" s="288"/>
      <c r="P26" s="288"/>
      <c r="Q26" s="288"/>
    </row>
    <row r="27" spans="1:17" ht="11.25">
      <c r="A27" s="234" t="s">
        <v>49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288"/>
      <c r="O27" s="288"/>
      <c r="P27" s="288"/>
      <c r="Q27" s="288"/>
    </row>
    <row r="28" spans="1:17" s="64" customFormat="1" ht="11.25">
      <c r="A28" s="235" t="s">
        <v>161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288"/>
      <c r="O28" s="288"/>
      <c r="P28" s="288"/>
      <c r="Q28" s="288"/>
    </row>
    <row r="29" spans="1:17" ht="33.75">
      <c r="A29" s="236" t="s">
        <v>157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285">
        <f>SUM(B29:M29)</f>
        <v>0</v>
      </c>
      <c r="O29" s="286"/>
      <c r="P29" s="286"/>
      <c r="Q29" s="286"/>
    </row>
    <row r="30" spans="1:17" ht="11.25">
      <c r="A30" s="236" t="s">
        <v>211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285">
        <f>SUM(B30:M30)</f>
        <v>0</v>
      </c>
      <c r="O30" s="286"/>
      <c r="P30" s="286"/>
      <c r="Q30" s="286"/>
    </row>
    <row r="31" spans="1:17" ht="11.25">
      <c r="A31" s="99" t="s">
        <v>36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285">
        <f>SUM(B31:M31)</f>
        <v>0</v>
      </c>
      <c r="O31" s="286"/>
      <c r="P31" s="286"/>
      <c r="Q31" s="286"/>
    </row>
    <row r="32" spans="1:17" ht="11.25">
      <c r="A32" s="99" t="s">
        <v>35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285">
        <f>SUM(B32:M32)</f>
        <v>0</v>
      </c>
      <c r="O32" s="286"/>
      <c r="P32" s="286"/>
      <c r="Q32" s="286"/>
    </row>
    <row r="33" spans="1:17" ht="22.5">
      <c r="A33" s="233" t="s">
        <v>162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289"/>
      <c r="O33" s="290"/>
      <c r="P33" s="290"/>
      <c r="Q33" s="290"/>
    </row>
    <row r="34" spans="1:17" ht="11.25">
      <c r="A34" s="99" t="s">
        <v>170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285">
        <f>SUM(B34:M34)</f>
        <v>0</v>
      </c>
      <c r="O34" s="286"/>
      <c r="P34" s="286"/>
      <c r="Q34" s="286"/>
    </row>
    <row r="35" spans="1:17" ht="11.25">
      <c r="A35" s="92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288"/>
      <c r="O35" s="288"/>
      <c r="P35" s="288"/>
      <c r="Q35" s="288"/>
    </row>
    <row r="36" spans="1:17" ht="11.25">
      <c r="A36" s="93" t="s">
        <v>26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288"/>
      <c r="O36" s="288"/>
      <c r="P36" s="288"/>
      <c r="Q36" s="288"/>
    </row>
    <row r="37" spans="1:17" s="64" customFormat="1" ht="11.25">
      <c r="A37" s="65" t="s">
        <v>28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288"/>
      <c r="O37" s="288"/>
      <c r="P37" s="288"/>
      <c r="Q37" s="288"/>
    </row>
    <row r="38" spans="1:17" s="64" customFormat="1" ht="11.25">
      <c r="A38" s="71" t="s">
        <v>9</v>
      </c>
      <c r="B38" s="94">
        <f>Tooted!F8</f>
        <v>0</v>
      </c>
      <c r="C38" s="94">
        <f>Tooted!G8</f>
        <v>0</v>
      </c>
      <c r="D38" s="94">
        <f>Tooted!H8</f>
        <v>0</v>
      </c>
      <c r="E38" s="94">
        <f>Tooted!I8</f>
        <v>0</v>
      </c>
      <c r="F38" s="94">
        <f>Tooted!J8</f>
        <v>0</v>
      </c>
      <c r="G38" s="94">
        <f>Tooted!K8</f>
        <v>0</v>
      </c>
      <c r="H38" s="94">
        <f>Tooted!L8</f>
        <v>0</v>
      </c>
      <c r="I38" s="94">
        <f>Tooted!M8</f>
        <v>0</v>
      </c>
      <c r="J38" s="94">
        <f>Tooted!N8</f>
        <v>0</v>
      </c>
      <c r="K38" s="94">
        <f>Tooted!O8</f>
        <v>0</v>
      </c>
      <c r="L38" s="94">
        <f>Tooted!P8</f>
        <v>0</v>
      </c>
      <c r="M38" s="94">
        <f>Tooted!Q8</f>
        <v>0</v>
      </c>
      <c r="N38" s="285">
        <f>SUM(B38:M38)</f>
        <v>0</v>
      </c>
      <c r="O38" s="291">
        <f>Tooted!S8</f>
        <v>0</v>
      </c>
      <c r="P38" s="291">
        <f>Tooted!T8</f>
        <v>0</v>
      </c>
      <c r="Q38" s="291">
        <f>Tooted!U8</f>
        <v>0</v>
      </c>
    </row>
    <row r="39" spans="1:17" ht="11.25">
      <c r="A39" s="71" t="s">
        <v>29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285">
        <f>SUM(B39:M39)</f>
        <v>0</v>
      </c>
      <c r="O39" s="286"/>
      <c r="P39" s="286"/>
      <c r="Q39" s="286"/>
    </row>
    <row r="40" spans="1:17" ht="11.25">
      <c r="A40" s="95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289"/>
      <c r="O40" s="290"/>
      <c r="P40" s="290"/>
      <c r="Q40" s="290"/>
    </row>
    <row r="41" spans="1:17" s="64" customFormat="1" ht="11.25">
      <c r="A41" s="92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288"/>
      <c r="O41" s="288"/>
      <c r="P41" s="288"/>
      <c r="Q41" s="288"/>
    </row>
    <row r="42" spans="1:17" s="64" customFormat="1" ht="11.25">
      <c r="A42" s="65" t="s">
        <v>27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288"/>
      <c r="O42" s="288"/>
      <c r="P42" s="288"/>
      <c r="Q42" s="288"/>
    </row>
    <row r="43" spans="1:17" s="64" customFormat="1" ht="11.25">
      <c r="A43" s="71" t="s">
        <v>21</v>
      </c>
      <c r="B43" s="10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285">
        <f>SUM(B43:M43)</f>
        <v>0</v>
      </c>
      <c r="O43" s="286"/>
      <c r="P43" s="286"/>
      <c r="Q43" s="286"/>
    </row>
    <row r="44" spans="1:17" s="64" customFormat="1" ht="11.25">
      <c r="A44" s="71" t="s">
        <v>32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285">
        <f>SUM(B44:M44)</f>
        <v>0</v>
      </c>
      <c r="O44" s="286"/>
      <c r="P44" s="286"/>
      <c r="Q44" s="286"/>
    </row>
    <row r="45" spans="1:17" s="64" customFormat="1" ht="11.25">
      <c r="A45" s="71" t="s">
        <v>33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285">
        <f>SUM(B45:M45)</f>
        <v>0</v>
      </c>
      <c r="O45" s="286"/>
      <c r="P45" s="286"/>
      <c r="Q45" s="286"/>
    </row>
    <row r="46" spans="1:17" s="64" customFormat="1" ht="3" customHeight="1">
      <c r="A46" s="92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289">
        <f>SUM(B46:M46)</f>
        <v>0</v>
      </c>
      <c r="O46" s="288"/>
      <c r="P46" s="288"/>
      <c r="Q46" s="288"/>
    </row>
    <row r="47" spans="1:17" s="64" customFormat="1" ht="11.25">
      <c r="A47" s="96" t="s">
        <v>31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289"/>
      <c r="O47" s="288"/>
      <c r="P47" s="288"/>
      <c r="Q47" s="288"/>
    </row>
    <row r="48" spans="1:17" s="64" customFormat="1" ht="11.25">
      <c r="A48" s="97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89"/>
      <c r="O48" s="292"/>
      <c r="P48" s="292"/>
      <c r="Q48" s="292"/>
    </row>
    <row r="49" spans="1:17" s="64" customFormat="1" ht="11.25">
      <c r="A49" s="98" t="s">
        <v>42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288"/>
      <c r="O49" s="288"/>
      <c r="P49" s="288"/>
      <c r="Q49" s="288"/>
    </row>
    <row r="50" spans="1:17" ht="11.25">
      <c r="A50" s="71" t="s">
        <v>10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285">
        <f>SUM(B50:M50)</f>
        <v>0</v>
      </c>
      <c r="O50" s="286"/>
      <c r="P50" s="286"/>
      <c r="Q50" s="286"/>
    </row>
    <row r="51" spans="1:17" ht="11.25">
      <c r="A51" s="71" t="s">
        <v>11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285">
        <f aca="true" t="shared" si="5" ref="N51:N56">SUM(B51:M51)</f>
        <v>0</v>
      </c>
      <c r="O51" s="286"/>
      <c r="P51" s="286"/>
      <c r="Q51" s="286"/>
    </row>
    <row r="52" spans="1:17" ht="11.25">
      <c r="A52" s="71" t="s">
        <v>12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285">
        <f t="shared" si="5"/>
        <v>0</v>
      </c>
      <c r="O52" s="286"/>
      <c r="P52" s="286"/>
      <c r="Q52" s="286"/>
    </row>
    <row r="53" spans="1:17" ht="11.25">
      <c r="A53" s="71" t="s">
        <v>40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285">
        <f t="shared" si="5"/>
        <v>0</v>
      </c>
      <c r="O53" s="286"/>
      <c r="P53" s="286"/>
      <c r="Q53" s="286"/>
    </row>
    <row r="54" spans="1:17" ht="11.25">
      <c r="A54" s="71" t="s">
        <v>37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285">
        <f t="shared" si="5"/>
        <v>0</v>
      </c>
      <c r="O54" s="286"/>
      <c r="P54" s="286"/>
      <c r="Q54" s="286"/>
    </row>
    <row r="55" spans="1:17" ht="11.25">
      <c r="A55" s="71" t="s">
        <v>46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285">
        <f t="shared" si="5"/>
        <v>0</v>
      </c>
      <c r="O55" s="286"/>
      <c r="P55" s="286"/>
      <c r="Q55" s="286"/>
    </row>
    <row r="56" spans="1:17" ht="11.25">
      <c r="A56" s="71" t="s">
        <v>43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285">
        <f t="shared" si="5"/>
        <v>0</v>
      </c>
      <c r="O56" s="286"/>
      <c r="P56" s="286"/>
      <c r="Q56" s="286"/>
    </row>
    <row r="57" spans="1:17" s="64" customFormat="1" ht="11.25">
      <c r="A57" s="98" t="s">
        <v>30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288"/>
      <c r="O57" s="290"/>
      <c r="P57" s="290"/>
      <c r="Q57" s="290"/>
    </row>
    <row r="58" spans="1:17" ht="11.25">
      <c r="A58" s="71" t="s">
        <v>13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285">
        <f>SUM(B58:M58)</f>
        <v>0</v>
      </c>
      <c r="O58" s="286"/>
      <c r="P58" s="286"/>
      <c r="Q58" s="286"/>
    </row>
    <row r="59" spans="1:17" ht="11.25">
      <c r="A59" s="71" t="s">
        <v>14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285">
        <f>SUM(B59:M59)</f>
        <v>0</v>
      </c>
      <c r="O59" s="286"/>
      <c r="P59" s="286"/>
      <c r="Q59" s="286"/>
    </row>
    <row r="60" spans="1:17" ht="11.25">
      <c r="A60" s="71" t="s">
        <v>15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285">
        <f>SUM(B60:M60)</f>
        <v>0</v>
      </c>
      <c r="O60" s="286"/>
      <c r="P60" s="286"/>
      <c r="Q60" s="286"/>
    </row>
    <row r="61" spans="1:17" ht="11.25">
      <c r="A61" s="71" t="s">
        <v>16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285">
        <f>SUM(B61:M61)</f>
        <v>0</v>
      </c>
      <c r="O61" s="286"/>
      <c r="P61" s="286"/>
      <c r="Q61" s="286"/>
    </row>
    <row r="62" spans="1:17" s="64" customFormat="1" ht="11.25">
      <c r="A62" s="98" t="s">
        <v>39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288"/>
      <c r="O62" s="290"/>
      <c r="P62" s="290"/>
      <c r="Q62" s="290"/>
    </row>
    <row r="63" spans="1:17" ht="11.25">
      <c r="A63" s="71" t="s">
        <v>17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285">
        <f>SUM(B63:M63)</f>
        <v>0</v>
      </c>
      <c r="O63" s="286"/>
      <c r="P63" s="286"/>
      <c r="Q63" s="286"/>
    </row>
    <row r="64" spans="1:17" ht="11.25">
      <c r="A64" s="71" t="s">
        <v>18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285">
        <f>SUM(B64:M64)</f>
        <v>0</v>
      </c>
      <c r="O64" s="286"/>
      <c r="P64" s="286"/>
      <c r="Q64" s="286"/>
    </row>
    <row r="65" spans="1:17" ht="11.25">
      <c r="A65" s="71" t="s">
        <v>19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285">
        <f>SUM(B65:M65)</f>
        <v>0</v>
      </c>
      <c r="O65" s="286"/>
      <c r="P65" s="286"/>
      <c r="Q65" s="286"/>
    </row>
    <row r="66" spans="1:17" s="64" customFormat="1" ht="11.25">
      <c r="A66" s="98" t="s">
        <v>45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288"/>
      <c r="O66" s="290"/>
      <c r="P66" s="290"/>
      <c r="Q66" s="290"/>
    </row>
    <row r="67" spans="1:17" s="101" customFormat="1" ht="11.25">
      <c r="A67" s="99" t="s">
        <v>34</v>
      </c>
      <c r="B67" s="100"/>
      <c r="C67" s="100"/>
      <c r="D67" s="100"/>
      <c r="E67" s="83"/>
      <c r="F67" s="83"/>
      <c r="G67" s="83"/>
      <c r="H67" s="83"/>
      <c r="I67" s="83"/>
      <c r="J67" s="83"/>
      <c r="K67" s="83"/>
      <c r="L67" s="83"/>
      <c r="M67" s="83"/>
      <c r="N67" s="285">
        <f>SUM(B67:M67)</f>
        <v>0</v>
      </c>
      <c r="O67" s="286"/>
      <c r="P67" s="286"/>
      <c r="Q67" s="286"/>
    </row>
    <row r="68" spans="1:17" s="101" customFormat="1" ht="11.25">
      <c r="A68" s="99" t="s">
        <v>20</v>
      </c>
      <c r="B68" s="100"/>
      <c r="C68" s="100"/>
      <c r="D68" s="100"/>
      <c r="E68" s="83"/>
      <c r="F68" s="83"/>
      <c r="G68" s="83"/>
      <c r="H68" s="83"/>
      <c r="I68" s="83"/>
      <c r="J68" s="83"/>
      <c r="K68" s="83"/>
      <c r="L68" s="83"/>
      <c r="M68" s="83"/>
      <c r="N68" s="285">
        <f>SUM(B68:M68)</f>
        <v>0</v>
      </c>
      <c r="O68" s="286"/>
      <c r="P68" s="286"/>
      <c r="Q68" s="286"/>
    </row>
    <row r="69" spans="1:17" s="101" customFormat="1" ht="11.25">
      <c r="A69" s="99" t="s">
        <v>47</v>
      </c>
      <c r="B69" s="100"/>
      <c r="C69" s="100"/>
      <c r="D69" s="100"/>
      <c r="E69" s="83"/>
      <c r="F69" s="83"/>
      <c r="G69" s="83"/>
      <c r="H69" s="83"/>
      <c r="I69" s="83"/>
      <c r="J69" s="83"/>
      <c r="K69" s="83"/>
      <c r="L69" s="83"/>
      <c r="M69" s="83"/>
      <c r="N69" s="285">
        <f>SUM(B69:M69)</f>
        <v>0</v>
      </c>
      <c r="O69" s="286"/>
      <c r="P69" s="286"/>
      <c r="Q69" s="286"/>
    </row>
    <row r="70" spans="1:17" s="101" customFormat="1" ht="11.25">
      <c r="A70" s="99" t="s">
        <v>45</v>
      </c>
      <c r="B70" s="100"/>
      <c r="C70" s="100"/>
      <c r="D70" s="100"/>
      <c r="E70" s="83"/>
      <c r="F70" s="83"/>
      <c r="G70" s="83"/>
      <c r="H70" s="83"/>
      <c r="I70" s="83"/>
      <c r="J70" s="83"/>
      <c r="K70" s="83"/>
      <c r="L70" s="83"/>
      <c r="M70" s="83"/>
      <c r="N70" s="285">
        <f>SUM(B70:M70)</f>
        <v>0</v>
      </c>
      <c r="O70" s="286"/>
      <c r="P70" s="286"/>
      <c r="Q70" s="286"/>
    </row>
    <row r="71" spans="1:17" s="64" customFormat="1" ht="11.25">
      <c r="A71" s="98" t="s">
        <v>41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288"/>
      <c r="O71" s="290"/>
      <c r="P71" s="290"/>
      <c r="Q71" s="290"/>
    </row>
    <row r="72" spans="1:17" ht="11.25">
      <c r="A72" s="71" t="s">
        <v>66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285">
        <f>SUM(B72:M72)</f>
        <v>0</v>
      </c>
      <c r="O72" s="286"/>
      <c r="P72" s="286"/>
      <c r="Q72" s="286"/>
    </row>
    <row r="73" spans="1:17" ht="11.25">
      <c r="A73" s="71" t="s">
        <v>105</v>
      </c>
      <c r="B73" s="83"/>
      <c r="C73" s="81">
        <f>B72*0.33</f>
        <v>0</v>
      </c>
      <c r="D73" s="81">
        <f aca="true" t="shared" si="6" ref="D73:M73">C72*0.33</f>
        <v>0</v>
      </c>
      <c r="E73" s="81">
        <f t="shared" si="6"/>
        <v>0</v>
      </c>
      <c r="F73" s="81">
        <f t="shared" si="6"/>
        <v>0</v>
      </c>
      <c r="G73" s="81">
        <f t="shared" si="6"/>
        <v>0</v>
      </c>
      <c r="H73" s="81">
        <f t="shared" si="6"/>
        <v>0</v>
      </c>
      <c r="I73" s="81">
        <f t="shared" si="6"/>
        <v>0</v>
      </c>
      <c r="J73" s="81">
        <f t="shared" si="6"/>
        <v>0</v>
      </c>
      <c r="K73" s="81">
        <f t="shared" si="6"/>
        <v>0</v>
      </c>
      <c r="L73" s="81">
        <f t="shared" si="6"/>
        <v>0</v>
      </c>
      <c r="M73" s="81">
        <f t="shared" si="6"/>
        <v>0</v>
      </c>
      <c r="N73" s="285">
        <f>SUM(B73:M73)</f>
        <v>0</v>
      </c>
      <c r="O73" s="285">
        <f>M72/12*0.33+O72/12*11*0.33</f>
        <v>0</v>
      </c>
      <c r="P73" s="285">
        <f>O72/12*0.33+P72/12*11*0.33</f>
        <v>0</v>
      </c>
      <c r="Q73" s="285">
        <f>P72/12*0.33+Q72/12*11*0.33</f>
        <v>0</v>
      </c>
    </row>
    <row r="74" spans="1:17" ht="11.25">
      <c r="A74" s="71" t="s">
        <v>106</v>
      </c>
      <c r="B74" s="83"/>
      <c r="C74" s="81">
        <f aca="true" t="shared" si="7" ref="C74:M74">B72*0.008</f>
        <v>0</v>
      </c>
      <c r="D74" s="81">
        <f t="shared" si="7"/>
        <v>0</v>
      </c>
      <c r="E74" s="81">
        <f t="shared" si="7"/>
        <v>0</v>
      </c>
      <c r="F74" s="81">
        <f t="shared" si="7"/>
        <v>0</v>
      </c>
      <c r="G74" s="81">
        <f t="shared" si="7"/>
        <v>0</v>
      </c>
      <c r="H74" s="81">
        <f t="shared" si="7"/>
        <v>0</v>
      </c>
      <c r="I74" s="81">
        <f t="shared" si="7"/>
        <v>0</v>
      </c>
      <c r="J74" s="81">
        <f t="shared" si="7"/>
        <v>0</v>
      </c>
      <c r="K74" s="81">
        <f t="shared" si="7"/>
        <v>0</v>
      </c>
      <c r="L74" s="81">
        <f t="shared" si="7"/>
        <v>0</v>
      </c>
      <c r="M74" s="81">
        <f t="shared" si="7"/>
        <v>0</v>
      </c>
      <c r="N74" s="285">
        <f>SUM(B74:M74)</f>
        <v>0</v>
      </c>
      <c r="O74" s="285">
        <f>N72/12*0.008+O72/12*11*0.008</f>
        <v>0</v>
      </c>
      <c r="P74" s="285">
        <f>O72/12*0.008+P72/12*11*0.008</f>
        <v>0</v>
      </c>
      <c r="Q74" s="285">
        <f>P72/12*0.008+Q72/12*11*0.008</f>
        <v>0</v>
      </c>
    </row>
    <row r="75" spans="1:17" ht="11.25">
      <c r="A75" s="71" t="s">
        <v>38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285">
        <f>SUM(B75:M75)</f>
        <v>0</v>
      </c>
      <c r="O75" s="286"/>
      <c r="P75" s="286"/>
      <c r="Q75" s="286"/>
    </row>
    <row r="76" spans="1:17" s="64" customFormat="1" ht="11.25">
      <c r="A76" s="65" t="s">
        <v>44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288"/>
      <c r="O76" s="290"/>
      <c r="P76" s="290"/>
      <c r="Q76" s="290"/>
    </row>
    <row r="77" spans="1:17" ht="11.25">
      <c r="A77" s="71" t="s">
        <v>104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285">
        <f>SUM(B77:M77)</f>
        <v>0</v>
      </c>
      <c r="O77" s="286"/>
      <c r="P77" s="286"/>
      <c r="Q77" s="286"/>
    </row>
    <row r="78" spans="1:17" ht="11.25">
      <c r="A78" s="84" t="s">
        <v>6</v>
      </c>
      <c r="B78" s="81">
        <f>IF('Algandmed '!$B2="jah",ROUND((SUM(B29:B70)-B61-B68+B75)*0.2,0),0)</f>
        <v>0</v>
      </c>
      <c r="C78" s="81">
        <f>IF('Algandmed '!$B2="jah",ROUND((SUM(C29:C70)-C61-C68+C75)*0.2,0),0)</f>
        <v>0</v>
      </c>
      <c r="D78" s="81">
        <f>IF('Algandmed '!$B2="jah",ROUND((SUM(D29:D70)-D61-D68+D75)*0.2,0),0)</f>
        <v>0</v>
      </c>
      <c r="E78" s="81">
        <f>IF('Algandmed '!$B2="jah",ROUND((SUM(E29:E70)-E61-E68+E75)*0.2,0),0)</f>
        <v>0</v>
      </c>
      <c r="F78" s="81">
        <f>IF('Algandmed '!$B2="jah",ROUND((SUM(F29:F70)-F61-F68+F75)*0.2,0),0)</f>
        <v>0</v>
      </c>
      <c r="G78" s="81">
        <f>IF('Algandmed '!$B2="jah",ROUND((SUM(G29:G70)-G61-G68+G75)*0.2,0),0)</f>
        <v>0</v>
      </c>
      <c r="H78" s="81">
        <f>IF('Algandmed '!$B2="jah",ROUND((SUM(H29:H70)-H61-H68+H75)*0.2,0),0)</f>
        <v>0</v>
      </c>
      <c r="I78" s="81">
        <f>IF('Algandmed '!$B2="jah",ROUND((SUM(I29:I70)-I61-I68+I75)*0.2,0),0)</f>
        <v>0</v>
      </c>
      <c r="J78" s="81">
        <f>IF('Algandmed '!$B2="jah",ROUND((SUM(J29:J70)-J61-J68+J75)*0.2,0),0)</f>
        <v>0</v>
      </c>
      <c r="K78" s="81">
        <f>IF('Algandmed '!$B2="jah",ROUND((SUM(K29:K70)-K61-K68+K75)*0.2,0),0)</f>
        <v>0</v>
      </c>
      <c r="L78" s="81">
        <f>IF('Algandmed '!$B2="jah",ROUND((SUM(L29:L70)-L61-L68+L75)*0.2,0),0)</f>
        <v>0</v>
      </c>
      <c r="M78" s="81">
        <f>IF('Algandmed '!$B2="jah",ROUND((SUM(M29:M70)-M61-M68+M75)*0.2,0),0)</f>
        <v>0</v>
      </c>
      <c r="N78" s="285">
        <f>SUM(B78:M78)</f>
        <v>0</v>
      </c>
      <c r="O78" s="285">
        <f>IF('Algandmed '!$C2="jah",ROUND((SUM(O29:O70)-O61-O68+O75)*0.2,0),0)</f>
        <v>0</v>
      </c>
      <c r="P78" s="285">
        <f>IF('Algandmed '!$C2="jah",ROUND((SUM(P29:P70)-P61-P68+P75)*0.2,0),0)</f>
        <v>0</v>
      </c>
      <c r="Q78" s="285">
        <f>IF('Algandmed '!$C2="jah",ROUND((SUM(Q29:Q70)-Q61-Q68+Q75)*0.2,0),0)</f>
        <v>0</v>
      </c>
    </row>
    <row r="79" spans="1:17" ht="12" thickBot="1">
      <c r="A79" s="102" t="s">
        <v>48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293"/>
      <c r="O79" s="294"/>
      <c r="P79" s="294"/>
      <c r="Q79" s="294"/>
    </row>
    <row r="80" spans="1:18" s="101" customFormat="1" ht="12" thickBot="1">
      <c r="A80" s="99" t="s">
        <v>102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76">
        <f>IF(SUM(B80:L80)&lt;=Bilanss!B31,Bilanss!B31-SUM(B80:L80),0)</f>
        <v>0</v>
      </c>
      <c r="N80" s="283">
        <f>IF(SUM(B80:M80)=Bilanss!B31,SUM(B80:M80),IF(Bilanss!B31-SUM(B80:M80)&lt;0,"Viga, kliki siin!",Bilanss!B31-SUM(B80:M80)))</f>
        <v>0</v>
      </c>
      <c r="O80" s="286"/>
      <c r="P80" s="286"/>
      <c r="Q80" s="286"/>
      <c r="R80" s="104"/>
    </row>
    <row r="81" spans="1:17" s="101" customFormat="1" ht="11.25">
      <c r="A81" s="99" t="s">
        <v>103</v>
      </c>
      <c r="B81" s="100"/>
      <c r="C81" s="100"/>
      <c r="D81" s="100"/>
      <c r="E81" s="83"/>
      <c r="F81" s="83"/>
      <c r="G81" s="83"/>
      <c r="H81" s="83"/>
      <c r="I81" s="83"/>
      <c r="J81" s="83"/>
      <c r="K81" s="83"/>
      <c r="L81" s="83"/>
      <c r="M81" s="105">
        <f>IF(SUM(B81:L81)&lt;=Bilanss!B30+N22,(Bilanss!B30+N22-SUM(B81:L81)),0)</f>
        <v>0</v>
      </c>
      <c r="N81" s="283">
        <f>IF(SUM(B81:M81)&lt;Bilanss!B30,"Viga, kliki siin!",IF(SUM(B81:M81)&gt;(Bilanss!B30+SUM(B22:M22)),"Viga, kliki siin!",SUM(B81:M81)))</f>
        <v>0</v>
      </c>
      <c r="O81" s="286"/>
      <c r="P81" s="286"/>
      <c r="Q81" s="286"/>
    </row>
    <row r="82" spans="1:17" s="101" customFormat="1" ht="11.25">
      <c r="A82" s="99" t="s">
        <v>62</v>
      </c>
      <c r="B82" s="100"/>
      <c r="C82" s="100"/>
      <c r="D82" s="100"/>
      <c r="E82" s="83"/>
      <c r="F82" s="83"/>
      <c r="G82" s="83"/>
      <c r="H82" s="83"/>
      <c r="I82" s="83"/>
      <c r="J82" s="83"/>
      <c r="K82" s="83"/>
      <c r="L82" s="83"/>
      <c r="M82" s="83"/>
      <c r="N82" s="285">
        <f>SUM(B82:M82)</f>
        <v>0</v>
      </c>
      <c r="O82" s="286"/>
      <c r="P82" s="286"/>
      <c r="Q82" s="286"/>
    </row>
    <row r="83" spans="1:17" ht="11.25">
      <c r="A83" s="71" t="s">
        <v>53</v>
      </c>
      <c r="B83" s="83"/>
      <c r="C83" s="81">
        <f>IF(B92&gt;0,B92,0)</f>
        <v>0</v>
      </c>
      <c r="D83" s="81">
        <f>IF(AND(B92&lt;0,C92&lt;=0),B92,IF(AND(B92&gt;=0,C92&lt;0),0,IF(AND(B92&lt;0,C92&gt;0),B92+C92,C92)))</f>
        <v>0</v>
      </c>
      <c r="E83" s="81">
        <f aca="true" t="shared" si="8" ref="E83:M83">IF(AND(C92&lt;0,D92&lt;=0),C92,IF(AND(C92&gt;=0,D92&lt;0),0,IF(AND(C92&lt;0,D92&gt;0),C92+D92,D92)))</f>
        <v>0</v>
      </c>
      <c r="F83" s="81">
        <f t="shared" si="8"/>
        <v>0</v>
      </c>
      <c r="G83" s="81">
        <f t="shared" si="8"/>
        <v>0</v>
      </c>
      <c r="H83" s="81">
        <f t="shared" si="8"/>
        <v>0</v>
      </c>
      <c r="I83" s="81">
        <f t="shared" si="8"/>
        <v>0</v>
      </c>
      <c r="J83" s="81">
        <f t="shared" si="8"/>
        <v>0</v>
      </c>
      <c r="K83" s="81">
        <f t="shared" si="8"/>
        <v>0</v>
      </c>
      <c r="L83" s="81">
        <f t="shared" si="8"/>
        <v>0</v>
      </c>
      <c r="M83" s="81">
        <f t="shared" si="8"/>
        <v>0</v>
      </c>
      <c r="N83" s="285">
        <f>SUM(B83:M83)</f>
        <v>0</v>
      </c>
      <c r="O83" s="285">
        <f>L92+M92+O92-O92/12</f>
        <v>0</v>
      </c>
      <c r="P83" s="285">
        <f>O92/12+P92-P92/12</f>
        <v>0</v>
      </c>
      <c r="Q83" s="285">
        <f>P92/12+Q92-Q92/12</f>
        <v>0</v>
      </c>
    </row>
    <row r="84" spans="1:17" s="64" customFormat="1" ht="11.25">
      <c r="A84" s="92" t="s">
        <v>156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285">
        <f>SUM(B84:M84)</f>
        <v>0</v>
      </c>
      <c r="O84" s="286"/>
      <c r="P84" s="286"/>
      <c r="Q84" s="286"/>
    </row>
    <row r="85" spans="1:17" s="107" customFormat="1" ht="11.25">
      <c r="A85" s="232" t="s">
        <v>22</v>
      </c>
      <c r="B85" s="81">
        <f aca="true" t="shared" si="9" ref="B85:Q85">SUM(B29:B84)</f>
        <v>0</v>
      </c>
      <c r="C85" s="81">
        <f t="shared" si="9"/>
        <v>0</v>
      </c>
      <c r="D85" s="81">
        <f t="shared" si="9"/>
        <v>0</v>
      </c>
      <c r="E85" s="81">
        <f t="shared" si="9"/>
        <v>0</v>
      </c>
      <c r="F85" s="81">
        <f t="shared" si="9"/>
        <v>0</v>
      </c>
      <c r="G85" s="81">
        <f t="shared" si="9"/>
        <v>0</v>
      </c>
      <c r="H85" s="81">
        <f t="shared" si="9"/>
        <v>0</v>
      </c>
      <c r="I85" s="81">
        <f t="shared" si="9"/>
        <v>0</v>
      </c>
      <c r="J85" s="81">
        <f t="shared" si="9"/>
        <v>0</v>
      </c>
      <c r="K85" s="81">
        <f t="shared" si="9"/>
        <v>0</v>
      </c>
      <c r="L85" s="81">
        <f t="shared" si="9"/>
        <v>0</v>
      </c>
      <c r="M85" s="81">
        <f t="shared" si="9"/>
        <v>0</v>
      </c>
      <c r="N85" s="285">
        <f>SUM(N29:N84)</f>
        <v>0</v>
      </c>
      <c r="O85" s="285">
        <f t="shared" si="9"/>
        <v>0</v>
      </c>
      <c r="P85" s="285">
        <f t="shared" si="9"/>
        <v>0</v>
      </c>
      <c r="Q85" s="285">
        <f t="shared" si="9"/>
        <v>0</v>
      </c>
    </row>
    <row r="86" spans="1:17" s="107" customFormat="1" ht="11.25">
      <c r="A86" s="96" t="s">
        <v>151</v>
      </c>
      <c r="B86" s="108">
        <f>SUM(raha2)-SUM(kohu2)</f>
        <v>0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295">
        <f>B86</f>
        <v>0</v>
      </c>
      <c r="O86" s="287"/>
      <c r="P86" s="287"/>
      <c r="Q86" s="287"/>
    </row>
    <row r="87" spans="1:17" s="64" customFormat="1" ht="11.25">
      <c r="A87" s="106" t="s">
        <v>23</v>
      </c>
      <c r="B87" s="62">
        <f>B4+B24-B85+B86</f>
        <v>0</v>
      </c>
      <c r="C87" s="81">
        <f aca="true" t="shared" si="10" ref="C87:M87">C24+C4-C85</f>
        <v>0</v>
      </c>
      <c r="D87" s="81">
        <f t="shared" si="10"/>
        <v>0</v>
      </c>
      <c r="E87" s="81">
        <f t="shared" si="10"/>
        <v>0</v>
      </c>
      <c r="F87" s="81">
        <f t="shared" si="10"/>
        <v>0</v>
      </c>
      <c r="G87" s="81">
        <f t="shared" si="10"/>
        <v>0</v>
      </c>
      <c r="H87" s="81">
        <f t="shared" si="10"/>
        <v>0</v>
      </c>
      <c r="I87" s="81">
        <f t="shared" si="10"/>
        <v>0</v>
      </c>
      <c r="J87" s="81">
        <f t="shared" si="10"/>
        <v>0</v>
      </c>
      <c r="K87" s="81">
        <f t="shared" si="10"/>
        <v>0</v>
      </c>
      <c r="L87" s="81">
        <f t="shared" si="10"/>
        <v>0</v>
      </c>
      <c r="M87" s="81">
        <f t="shared" si="10"/>
        <v>0</v>
      </c>
      <c r="N87" s="285">
        <f>N4+N24-N85+N86</f>
        <v>0</v>
      </c>
      <c r="O87" s="285">
        <f>O24+O4-O85</f>
        <v>0</v>
      </c>
      <c r="P87" s="285">
        <f>P24+P4-P85</f>
        <v>0</v>
      </c>
      <c r="Q87" s="285">
        <f>Q24+Q4-Q85</f>
        <v>0</v>
      </c>
    </row>
    <row r="88" spans="2:17" s="64" customFormat="1" ht="11.25"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10">
        <f>Bilanss!B30</f>
        <v>0</v>
      </c>
      <c r="O88" s="199"/>
      <c r="P88" s="199"/>
      <c r="Q88" s="200"/>
    </row>
    <row r="89" spans="1:17" ht="11.25">
      <c r="A89" s="64"/>
      <c r="B89" s="111" t="s">
        <v>152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10">
        <f>Bilanss!B31</f>
        <v>0</v>
      </c>
      <c r="O89" s="199"/>
      <c r="P89" s="199"/>
      <c r="Q89" s="200"/>
    </row>
    <row r="90" spans="1:17" ht="12.75" customHeight="1">
      <c r="A90" s="64"/>
      <c r="B90" s="112" t="s">
        <v>153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99"/>
      <c r="P90" s="199"/>
      <c r="Q90" s="200"/>
    </row>
    <row r="91" ht="14.25" customHeight="1"/>
    <row r="92" spans="1:17" s="114" customFormat="1" ht="17.25" customHeight="1">
      <c r="A92" s="237" t="s">
        <v>146</v>
      </c>
      <c r="B92" s="115">
        <f aca="true" t="shared" si="11" ref="B92:M92">B19-B78</f>
        <v>0</v>
      </c>
      <c r="C92" s="115">
        <f t="shared" si="11"/>
        <v>0</v>
      </c>
      <c r="D92" s="115">
        <f t="shared" si="11"/>
        <v>0</v>
      </c>
      <c r="E92" s="115">
        <f t="shared" si="11"/>
        <v>0</v>
      </c>
      <c r="F92" s="115">
        <f t="shared" si="11"/>
        <v>0</v>
      </c>
      <c r="G92" s="115">
        <f t="shared" si="11"/>
        <v>0</v>
      </c>
      <c r="H92" s="115">
        <f t="shared" si="11"/>
        <v>0</v>
      </c>
      <c r="I92" s="115">
        <f t="shared" si="11"/>
        <v>0</v>
      </c>
      <c r="J92" s="115">
        <f t="shared" si="11"/>
        <v>0</v>
      </c>
      <c r="K92" s="115">
        <f t="shared" si="11"/>
        <v>0</v>
      </c>
      <c r="L92" s="115">
        <f t="shared" si="11"/>
        <v>0</v>
      </c>
      <c r="M92" s="115">
        <f t="shared" si="11"/>
        <v>0</v>
      </c>
      <c r="N92" s="115"/>
      <c r="O92" s="202">
        <f>O19-O78</f>
        <v>0</v>
      </c>
      <c r="P92" s="202">
        <f>P19-P78</f>
        <v>0</v>
      </c>
      <c r="Q92" s="202">
        <f>Q19-Q78</f>
        <v>0</v>
      </c>
    </row>
    <row r="93" spans="1:17" s="114" customFormat="1" ht="17.25" customHeight="1">
      <c r="A93" s="237" t="s">
        <v>147</v>
      </c>
      <c r="B93" s="115">
        <f>B29</f>
        <v>0</v>
      </c>
      <c r="C93" s="115">
        <f>SUM($B29:C29)</f>
        <v>0</v>
      </c>
      <c r="D93" s="115">
        <f>SUM($B29:D29)</f>
        <v>0</v>
      </c>
      <c r="E93" s="115">
        <f>SUM($B29:E29)</f>
        <v>0</v>
      </c>
      <c r="F93" s="115">
        <f>SUM($B29:F29)</f>
        <v>0</v>
      </c>
      <c r="G93" s="115">
        <f>SUM($B29:G29)</f>
        <v>0</v>
      </c>
      <c r="H93" s="115">
        <f>SUM($B29:H29)</f>
        <v>0</v>
      </c>
      <c r="I93" s="115">
        <f>SUM($B29:I29)</f>
        <v>0</v>
      </c>
      <c r="J93" s="115">
        <f>SUM($B29:J29)</f>
        <v>0</v>
      </c>
      <c r="K93" s="115">
        <f>SUM($B29:K29)</f>
        <v>0</v>
      </c>
      <c r="L93" s="115">
        <f>SUM($B29:L29)</f>
        <v>0</v>
      </c>
      <c r="M93" s="115">
        <f>SUM($B29:M29)</f>
        <v>0</v>
      </c>
      <c r="N93" s="115">
        <f>M93</f>
        <v>0</v>
      </c>
      <c r="O93" s="202">
        <f>SUM(N29:O29)</f>
        <v>0</v>
      </c>
      <c r="P93" s="202">
        <f>SUM(N29:P29)</f>
        <v>0</v>
      </c>
      <c r="Q93" s="202">
        <f>SUM(N29:Q29)</f>
        <v>0</v>
      </c>
    </row>
    <row r="94" spans="1:17" s="114" customFormat="1" ht="19.5" customHeight="1">
      <c r="A94" s="237" t="s">
        <v>97</v>
      </c>
      <c r="B94" s="115">
        <f>SUM($B30:B32)</f>
        <v>0</v>
      </c>
      <c r="C94" s="115">
        <f>SUM($B30:C32)</f>
        <v>0</v>
      </c>
      <c r="D94" s="115">
        <f>SUM($B30:D32)</f>
        <v>0</v>
      </c>
      <c r="E94" s="115">
        <f>SUM($B30:E32)</f>
        <v>0</v>
      </c>
      <c r="F94" s="115">
        <f>SUM($B30:F32)</f>
        <v>0</v>
      </c>
      <c r="G94" s="115">
        <f>SUM($B30:G32)</f>
        <v>0</v>
      </c>
      <c r="H94" s="115">
        <f>SUM($B30:H32)</f>
        <v>0</v>
      </c>
      <c r="I94" s="115">
        <f>SUM($B30:I32)</f>
        <v>0</v>
      </c>
      <c r="J94" s="115">
        <f>SUM($B30:J32)</f>
        <v>0</v>
      </c>
      <c r="K94" s="115">
        <f>SUM($B30:K32)</f>
        <v>0</v>
      </c>
      <c r="L94" s="115">
        <f>SUM($B30:L32)</f>
        <v>0</v>
      </c>
      <c r="M94" s="115">
        <f>SUM($B30:M32)</f>
        <v>0</v>
      </c>
      <c r="N94" s="115">
        <f>M94</f>
        <v>0</v>
      </c>
      <c r="O94" s="202">
        <f>SUM(N30:O32)</f>
        <v>0</v>
      </c>
      <c r="P94" s="202">
        <f>SUM(N30:P32)</f>
        <v>0</v>
      </c>
      <c r="Q94" s="202">
        <f>SUM(N30:Q32)</f>
        <v>0</v>
      </c>
    </row>
    <row r="95" spans="1:17" s="114" customFormat="1" ht="17.25" customHeight="1">
      <c r="A95" s="237" t="s">
        <v>98</v>
      </c>
      <c r="B95" s="115">
        <f>B93*'Algandmed '!$B4/100/12</f>
        <v>0</v>
      </c>
      <c r="C95" s="115">
        <f>C93*'Algandmed '!$B4/100/12</f>
        <v>0</v>
      </c>
      <c r="D95" s="115">
        <f>D93*'Algandmed '!$B4/100/12</f>
        <v>0</v>
      </c>
      <c r="E95" s="115">
        <f>E93*'Algandmed '!$B4/100/12</f>
        <v>0</v>
      </c>
      <c r="F95" s="115">
        <f>F93*'Algandmed '!$B4/100/12</f>
        <v>0</v>
      </c>
      <c r="G95" s="115">
        <f>G93*'Algandmed '!$B4/100/12</f>
        <v>0</v>
      </c>
      <c r="H95" s="115">
        <f>H93*'Algandmed '!$B4/100/12</f>
        <v>0</v>
      </c>
      <c r="I95" s="115">
        <f>I93*'Algandmed '!$B4/100/12</f>
        <v>0</v>
      </c>
      <c r="J95" s="115">
        <f>J93*'Algandmed '!$B4/100/12</f>
        <v>0</v>
      </c>
      <c r="K95" s="115">
        <f>K93*'Algandmed '!$B4/100/12</f>
        <v>0</v>
      </c>
      <c r="L95" s="115">
        <f>L93*'Algandmed '!$B4/100/12</f>
        <v>0</v>
      </c>
      <c r="M95" s="115">
        <f>M93*'Algandmed '!$B4/100/12</f>
        <v>0</v>
      </c>
      <c r="N95" s="115">
        <f>Bilanss!$B$15*'Algandmed '!$B$4/100+SUM(B95:M95)</f>
        <v>0</v>
      </c>
      <c r="O95" s="202">
        <f>Bilanss!$B$15*'Algandmed '!$B$4/100+O93*'Algandmed '!C4/100</f>
        <v>0</v>
      </c>
      <c r="P95" s="202">
        <f>Bilanss!$B$15*'Algandmed '!$B$4/100+P93*'Algandmed '!D4/100</f>
        <v>0</v>
      </c>
      <c r="Q95" s="202">
        <f>Bilanss!$B$15*'Algandmed '!$B$4/100+Q93*'Algandmed '!E4/100</f>
        <v>0</v>
      </c>
    </row>
    <row r="96" spans="1:17" s="114" customFormat="1" ht="21" customHeight="1">
      <c r="A96" s="237" t="s">
        <v>99</v>
      </c>
      <c r="B96" s="115">
        <f>B94*'Algandmed '!$B5/100/12</f>
        <v>0</v>
      </c>
      <c r="C96" s="238">
        <f>C94*'Algandmed '!$B5/100/12</f>
        <v>0</v>
      </c>
      <c r="D96" s="115">
        <f>D94*'Algandmed '!$B5/100/12</f>
        <v>0</v>
      </c>
      <c r="E96" s="115">
        <f>E94*'Algandmed '!$B5/100/12</f>
        <v>0</v>
      </c>
      <c r="F96" s="115">
        <f>F94*'Algandmed '!$B5/100/12</f>
        <v>0</v>
      </c>
      <c r="G96" s="115">
        <f>G94*'Algandmed '!$B5/100/12</f>
        <v>0</v>
      </c>
      <c r="H96" s="115">
        <f>H94*'Algandmed '!$B5/100/12</f>
        <v>0</v>
      </c>
      <c r="I96" s="115">
        <f>I94*'Algandmed '!$B5/100/12</f>
        <v>0</v>
      </c>
      <c r="J96" s="115">
        <f>J94*'Algandmed '!$B5/100/12</f>
        <v>0</v>
      </c>
      <c r="K96" s="115">
        <f>K94*'Algandmed '!$B5/100/12</f>
        <v>0</v>
      </c>
      <c r="L96" s="115">
        <f>L94*'Algandmed '!$B5/100/12</f>
        <v>0</v>
      </c>
      <c r="M96" s="115">
        <f>M94*'Algandmed '!$B5/100/12</f>
        <v>0</v>
      </c>
      <c r="N96" s="238">
        <f>Bilanss!B16*'Algandmed '!B5/100+SUM(B96:M96)</f>
        <v>0</v>
      </c>
      <c r="O96" s="202">
        <f>Bilanss!$B$16*'Algandmed '!$B$5/100+O94*'Algandmed '!C5/100</f>
        <v>0</v>
      </c>
      <c r="P96" s="202">
        <f>Bilanss!$B$16*'Algandmed '!$B$5/100+P94*'Algandmed '!D5/100</f>
        <v>0</v>
      </c>
      <c r="Q96" s="202">
        <f>Bilanss!$B$16*'Algandmed '!$B$5/100+Q94*'Algandmed '!E5/100</f>
        <v>0</v>
      </c>
    </row>
    <row r="97" spans="1:17" s="114" customFormat="1" ht="21" customHeight="1">
      <c r="A97" s="237" t="s">
        <v>164</v>
      </c>
      <c r="B97" s="115">
        <f>B34</f>
        <v>0</v>
      </c>
      <c r="C97" s="115">
        <f>SUM($B$34:C34)</f>
        <v>0</v>
      </c>
      <c r="D97" s="115">
        <f>SUM($B$34:D34)</f>
        <v>0</v>
      </c>
      <c r="E97" s="115">
        <f>SUM($B$34:E34)</f>
        <v>0</v>
      </c>
      <c r="F97" s="115">
        <f>SUM($B$34:F34)</f>
        <v>0</v>
      </c>
      <c r="G97" s="115">
        <f>SUM($B$34:G34)</f>
        <v>0</v>
      </c>
      <c r="H97" s="115">
        <f>SUM($B$34:H34)</f>
        <v>0</v>
      </c>
      <c r="I97" s="115">
        <f>SUM($B$34:I34)</f>
        <v>0</v>
      </c>
      <c r="J97" s="115">
        <f>SUM($B$34:J34)</f>
        <v>0</v>
      </c>
      <c r="K97" s="115">
        <f>SUM($B$34:K34)</f>
        <v>0</v>
      </c>
      <c r="L97" s="115">
        <f>SUM($B$34:L34)</f>
        <v>0</v>
      </c>
      <c r="M97" s="115">
        <f>SUM($B$34:M34)</f>
        <v>0</v>
      </c>
      <c r="N97" s="115">
        <f>M97</f>
        <v>0</v>
      </c>
      <c r="O97" s="202">
        <f>SUM($N$34:O34)</f>
        <v>0</v>
      </c>
      <c r="P97" s="202">
        <f>SUM($N$34:P34)</f>
        <v>0</v>
      </c>
      <c r="Q97" s="202">
        <f>SUM($N$34:Q34)</f>
        <v>0</v>
      </c>
    </row>
    <row r="98" spans="1:17" ht="28.5" customHeight="1">
      <c r="A98" s="237" t="s">
        <v>165</v>
      </c>
      <c r="B98" s="115">
        <f>B97*'Algandmed '!$B6/100/12</f>
        <v>0</v>
      </c>
      <c r="C98" s="115">
        <f>C97*'Algandmed '!$B6/100/12</f>
        <v>0</v>
      </c>
      <c r="D98" s="115">
        <f>D97*'Algandmed '!$B6/100/12</f>
        <v>0</v>
      </c>
      <c r="E98" s="115">
        <f>E97*'Algandmed '!$B6/100/12</f>
        <v>0</v>
      </c>
      <c r="F98" s="115">
        <f>F97*'Algandmed '!$B6/100/12</f>
        <v>0</v>
      </c>
      <c r="G98" s="115">
        <f>G97*'Algandmed '!$B6/100/12</f>
        <v>0</v>
      </c>
      <c r="H98" s="115">
        <f>H97*'Algandmed '!$B6/100/12</f>
        <v>0</v>
      </c>
      <c r="I98" s="115">
        <f>I97*'Algandmed '!$B6/100/12</f>
        <v>0</v>
      </c>
      <c r="J98" s="115">
        <f>J97*'Algandmed '!$B6/100/12</f>
        <v>0</v>
      </c>
      <c r="K98" s="115">
        <f>K97*'Algandmed '!$B6/100/12</f>
        <v>0</v>
      </c>
      <c r="L98" s="115">
        <f>L97*'Algandmed '!$B6/100/12</f>
        <v>0</v>
      </c>
      <c r="M98" s="115">
        <f>M97*'Algandmed '!$B6/100/12</f>
        <v>0</v>
      </c>
      <c r="N98" s="115">
        <f>Bilanss!B19*'Algandmed '!B6/100+SUM(B98:M98)</f>
        <v>0</v>
      </c>
      <c r="O98" s="202">
        <f>Bilanss!$B$19*'Algandmed '!$B$6/100+O97*'Algandmed '!C6/100</f>
        <v>0</v>
      </c>
      <c r="P98" s="202">
        <f>Bilanss!$B$19*'Algandmed '!$B$6/100+P97*'Algandmed '!D6/100</f>
        <v>0</v>
      </c>
      <c r="Q98" s="202">
        <f>Bilanss!$B$19*'Algandmed '!$B$6/100+Q97*'Algandmed '!E6/100</f>
        <v>0</v>
      </c>
    </row>
  </sheetData>
  <sheetProtection/>
  <conditionalFormatting sqref="B87:Q87">
    <cfRule type="cellIs" priority="1" dxfId="0" operator="lessThan" stopIfTrue="1">
      <formula>0</formula>
    </cfRule>
  </conditionalFormatting>
  <printOptions/>
  <pageMargins left="0.1968503937007874" right="0.1968503937007874" top="0.3937007874015748" bottom="0.35433070866141736" header="0" footer="0"/>
  <pageSetup fitToHeight="1" fitToWidth="1" horizontalDpi="600" verticalDpi="600" orientation="landscape" paperSize="8" scale="48" r:id="rId3"/>
  <headerFooter alignWithMargins="0">
    <oddHeader>&amp;L&amp;"Arial,Kursiiv"&amp;8Finantsprognoosid alustavale ettevõtjale</oddHeader>
  </headerFooter>
  <rowBreaks count="3" manualBreakCount="3">
    <brk id="34" max="16" man="1"/>
    <brk id="42" max="16" man="1"/>
    <brk id="9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2.28125" style="139" customWidth="1"/>
    <col min="2" max="2" width="36.8515625" style="113" customWidth="1"/>
    <col min="3" max="3" width="40.00390625" style="113" customWidth="1"/>
    <col min="4" max="4" width="35.00390625" style="113" customWidth="1"/>
    <col min="5" max="5" width="41.00390625" style="117" customWidth="1"/>
    <col min="6" max="6" width="14.8515625" style="117" customWidth="1"/>
    <col min="7" max="7" width="12.7109375" style="117" bestFit="1" customWidth="1"/>
    <col min="8" max="16384" width="9.140625" style="117" customWidth="1"/>
  </cols>
  <sheetData>
    <row r="1" spans="1:5" ht="12.75">
      <c r="A1" s="116" t="s">
        <v>55</v>
      </c>
      <c r="B1" s="55" t="s">
        <v>54</v>
      </c>
      <c r="C1" s="55" t="s">
        <v>1</v>
      </c>
      <c r="D1" s="55" t="s">
        <v>2</v>
      </c>
      <c r="E1" s="55" t="s">
        <v>116</v>
      </c>
    </row>
    <row r="2" spans="1:5" ht="12" customHeight="1">
      <c r="A2" s="116"/>
      <c r="B2" s="118"/>
      <c r="C2" s="118"/>
      <c r="D2" s="118"/>
      <c r="E2" s="118"/>
    </row>
    <row r="3" spans="1:5" ht="17.25" customHeight="1">
      <c r="A3" s="116"/>
      <c r="B3" s="55"/>
      <c r="C3" s="55"/>
      <c r="D3" s="55"/>
      <c r="E3" s="55"/>
    </row>
    <row r="4" spans="1:5" ht="12.75">
      <c r="A4" s="119" t="s">
        <v>61</v>
      </c>
      <c r="B4" s="67"/>
      <c r="C4" s="67"/>
      <c r="D4" s="67"/>
      <c r="E4" s="67"/>
    </row>
    <row r="5" spans="1:5" ht="12.75">
      <c r="A5" s="120" t="s">
        <v>4</v>
      </c>
      <c r="B5" s="173">
        <f>Kassavood!N7</f>
        <v>0</v>
      </c>
      <c r="C5" s="173">
        <f>Kassavood!O7</f>
        <v>0</v>
      </c>
      <c r="D5" s="173">
        <f>Kassavood!P7</f>
        <v>0</v>
      </c>
      <c r="E5" s="173">
        <f>Kassavood!Q7</f>
        <v>0</v>
      </c>
    </row>
    <row r="6" spans="1:5" ht="12.75">
      <c r="A6" s="121" t="s">
        <v>114</v>
      </c>
      <c r="B6" s="173">
        <f>Kassavood!N9</f>
        <v>0</v>
      </c>
      <c r="C6" s="173">
        <f>Kassavood!O9</f>
        <v>0</v>
      </c>
      <c r="D6" s="173">
        <f>Kassavood!P9</f>
        <v>0</v>
      </c>
      <c r="E6" s="173">
        <f>Kassavood!Q9</f>
        <v>0</v>
      </c>
    </row>
    <row r="7" spans="1:5" ht="12.75">
      <c r="A7" s="121" t="s">
        <v>118</v>
      </c>
      <c r="B7" s="217">
        <f>IF(B6&gt;0,B6/B5,"")</f>
      </c>
      <c r="C7" s="217">
        <f>IF(C6&gt;0,C6/C5,"")</f>
      </c>
      <c r="D7" s="217">
        <f>IF(D6&gt;0,D6/D5,"")</f>
      </c>
      <c r="E7" s="217">
        <f>IF(E6&gt;0,E6/E5,"")</f>
      </c>
    </row>
    <row r="8" spans="1:5" ht="12.75">
      <c r="A8" s="122" t="s">
        <v>51</v>
      </c>
      <c r="B8" s="173">
        <f>Kassavood!N10</f>
        <v>0</v>
      </c>
      <c r="C8" s="173">
        <f>Kassavood!O10</f>
        <v>0</v>
      </c>
      <c r="D8" s="173">
        <f>Kassavood!P10</f>
        <v>0</v>
      </c>
      <c r="E8" s="173">
        <f>Kassavood!Q10</f>
        <v>0</v>
      </c>
    </row>
    <row r="9" spans="1:5" ht="12.75">
      <c r="A9" s="122" t="s">
        <v>52</v>
      </c>
      <c r="B9" s="174">
        <f>IF(B5&gt;0,B5/B8,0)</f>
        <v>0</v>
      </c>
      <c r="C9" s="174">
        <f>IF(C5&gt;0,C5/C8,0)</f>
        <v>0</v>
      </c>
      <c r="D9" s="174">
        <f>IF(D5&gt;0,D5/D8,0)</f>
        <v>0</v>
      </c>
      <c r="E9" s="174">
        <f>IF(E5&gt;0,E5/E8,0)</f>
        <v>0</v>
      </c>
    </row>
    <row r="10" spans="1:5" ht="12.75">
      <c r="A10" s="120" t="s">
        <v>111</v>
      </c>
      <c r="B10" s="173">
        <f>Kassavood!N18+Kassavood!N23</f>
        <v>0</v>
      </c>
      <c r="C10" s="173">
        <f>Kassavood!O18+Kassavood!O23</f>
        <v>0</v>
      </c>
      <c r="D10" s="173">
        <f>Kassavood!P18+Kassavood!P23</f>
        <v>0</v>
      </c>
      <c r="E10" s="173">
        <f>Kassavood!Q18+Kassavood!Q23</f>
        <v>0</v>
      </c>
    </row>
    <row r="11" spans="1:5" ht="12.75">
      <c r="A11" s="123" t="s">
        <v>56</v>
      </c>
      <c r="B11" s="175">
        <f>B5+B10</f>
        <v>0</v>
      </c>
      <c r="C11" s="175">
        <f>C5+C10</f>
        <v>0</v>
      </c>
      <c r="D11" s="175">
        <f>D5+D10</f>
        <v>0</v>
      </c>
      <c r="E11" s="175">
        <f>E5+E10</f>
        <v>0</v>
      </c>
    </row>
    <row r="12" spans="1:5" ht="14.25" customHeight="1">
      <c r="A12" s="219" t="s">
        <v>181</v>
      </c>
      <c r="B12" s="220">
        <f>B5+B10</f>
        <v>0</v>
      </c>
      <c r="C12" s="220">
        <f>C5+C10</f>
        <v>0</v>
      </c>
      <c r="D12" s="220">
        <f>D5+D10</f>
        <v>0</v>
      </c>
      <c r="E12" s="220">
        <f>E5+E10</f>
        <v>0</v>
      </c>
    </row>
    <row r="13" spans="1:5" ht="15" customHeight="1">
      <c r="A13" s="124"/>
      <c r="B13" s="151"/>
      <c r="C13" s="151"/>
      <c r="D13" s="151"/>
      <c r="E13" s="151"/>
    </row>
    <row r="14" spans="1:5" ht="12.75">
      <c r="A14" s="124" t="s">
        <v>177</v>
      </c>
      <c r="B14" s="151"/>
      <c r="C14" s="216" t="e">
        <f>(C11-B11)/ABS(B11)</f>
        <v>#DIV/0!</v>
      </c>
      <c r="D14" s="221" t="e">
        <f>(D11-C11)/ABS(C11)</f>
        <v>#DIV/0!</v>
      </c>
      <c r="E14" s="216" t="e">
        <f>(E11-D11)/ABS(D11)</f>
        <v>#DIV/0!</v>
      </c>
    </row>
    <row r="15" spans="1:5" ht="14.25" customHeight="1">
      <c r="A15" s="125"/>
      <c r="B15" s="151"/>
      <c r="C15" s="151"/>
      <c r="D15" s="151"/>
      <c r="E15" s="151"/>
    </row>
    <row r="16" spans="1:5" ht="12.75">
      <c r="A16" s="126" t="s">
        <v>26</v>
      </c>
      <c r="B16" s="152"/>
      <c r="C16" s="152"/>
      <c r="D16" s="152"/>
      <c r="E16" s="152"/>
    </row>
    <row r="17" spans="1:5" ht="12.75">
      <c r="A17" s="127" t="s">
        <v>28</v>
      </c>
      <c r="B17" s="152"/>
      <c r="C17" s="152"/>
      <c r="D17" s="152"/>
      <c r="E17" s="152"/>
    </row>
    <row r="18" spans="1:5" ht="12.75">
      <c r="A18" s="120" t="str">
        <f>Kassavood!A38</f>
        <v>Toore ja materjal</v>
      </c>
      <c r="B18" s="176">
        <f>Tooted!R5</f>
        <v>0</v>
      </c>
      <c r="C18" s="176">
        <f>Tooted!S5</f>
        <v>0</v>
      </c>
      <c r="D18" s="176">
        <f>Tooted!T5</f>
        <v>0</v>
      </c>
      <c r="E18" s="176">
        <f>Tooted!U5</f>
        <v>0</v>
      </c>
    </row>
    <row r="19" spans="1:5" ht="12.75">
      <c r="A19" s="128" t="str">
        <f>Kassavood!A39</f>
        <v>Ostuteenused</v>
      </c>
      <c r="B19" s="173">
        <f>Kassavood!N39</f>
        <v>0</v>
      </c>
      <c r="C19" s="173">
        <f>Kassavood!O39</f>
        <v>0</v>
      </c>
      <c r="D19" s="173">
        <f>Kassavood!P39</f>
        <v>0</v>
      </c>
      <c r="E19" s="173">
        <f>Kassavood!Q39</f>
        <v>0</v>
      </c>
    </row>
    <row r="20" spans="1:5" ht="12.75">
      <c r="A20" s="129"/>
      <c r="B20" s="177">
        <f>SUM(B18:B19)</f>
        <v>0</v>
      </c>
      <c r="C20" s="177">
        <f>SUM(C18:C19)</f>
        <v>0</v>
      </c>
      <c r="D20" s="177">
        <f>SUM(D18:D19)</f>
        <v>0</v>
      </c>
      <c r="E20" s="177">
        <f>SUM(E18:E19)</f>
        <v>0</v>
      </c>
    </row>
    <row r="21" spans="1:5" ht="12.75">
      <c r="A21" s="127" t="s">
        <v>27</v>
      </c>
      <c r="B21" s="177"/>
      <c r="C21" s="177"/>
      <c r="D21" s="177"/>
      <c r="E21" s="177"/>
    </row>
    <row r="22" spans="1:5" ht="12.75">
      <c r="A22" s="128" t="str">
        <f>Kassavood!A43</f>
        <v>Reklaamikulud</v>
      </c>
      <c r="B22" s="173">
        <f>Kassavood!N43</f>
        <v>0</v>
      </c>
      <c r="C22" s="173">
        <f>Kassavood!O43</f>
        <v>0</v>
      </c>
      <c r="D22" s="173">
        <f>Kassavood!P43</f>
        <v>0</v>
      </c>
      <c r="E22" s="173">
        <f>Kassavood!Q43</f>
        <v>0</v>
      </c>
    </row>
    <row r="23" spans="1:5" ht="12.75">
      <c r="A23" s="120" t="str">
        <f>Kassavood!A44</f>
        <v>Turustamisega seotud transporditeenused</v>
      </c>
      <c r="B23" s="178">
        <f>Kassavood!N44</f>
        <v>0</v>
      </c>
      <c r="C23" s="178">
        <f>Kassavood!O44</f>
        <v>0</v>
      </c>
      <c r="D23" s="178">
        <f>Kassavood!P44</f>
        <v>0</v>
      </c>
      <c r="E23" s="178">
        <f>Kassavood!Q44</f>
        <v>0</v>
      </c>
    </row>
    <row r="24" spans="1:5" ht="12.75">
      <c r="A24" s="120" t="str">
        <f>Kassavood!A45</f>
        <v>Turustamisega seotud autokütus</v>
      </c>
      <c r="B24" s="173">
        <f>Kassavood!N45</f>
        <v>0</v>
      </c>
      <c r="C24" s="173">
        <f>Kassavood!O45</f>
        <v>0</v>
      </c>
      <c r="D24" s="173">
        <f>Kassavood!P45</f>
        <v>0</v>
      </c>
      <c r="E24" s="173">
        <f>Kassavood!Q45</f>
        <v>0</v>
      </c>
    </row>
    <row r="25" spans="1:5" ht="12.75">
      <c r="A25" s="129"/>
      <c r="B25" s="177">
        <f>SUM(B22:B24)</f>
        <v>0</v>
      </c>
      <c r="C25" s="177">
        <f>SUM(C22:C24)</f>
        <v>0</v>
      </c>
      <c r="D25" s="177">
        <f>SUM(D22:D24)</f>
        <v>0</v>
      </c>
      <c r="E25" s="177">
        <f>SUM(E22:E24)</f>
        <v>0</v>
      </c>
    </row>
    <row r="26" spans="1:5" ht="12.75">
      <c r="A26" s="130" t="s">
        <v>31</v>
      </c>
      <c r="B26" s="177"/>
      <c r="C26" s="177"/>
      <c r="D26" s="177"/>
      <c r="E26" s="177"/>
    </row>
    <row r="27" spans="1:5" ht="12.75">
      <c r="A27" s="131" t="s">
        <v>42</v>
      </c>
      <c r="B27" s="177"/>
      <c r="C27" s="177"/>
      <c r="D27" s="177"/>
      <c r="E27" s="177"/>
    </row>
    <row r="28" spans="1:5" ht="12.75">
      <c r="A28" s="120" t="str">
        <f>Kassavood!A50</f>
        <v>Küte</v>
      </c>
      <c r="B28" s="173">
        <f>Kassavood!N50</f>
        <v>0</v>
      </c>
      <c r="C28" s="173">
        <f>Kassavood!O50</f>
        <v>0</v>
      </c>
      <c r="D28" s="173">
        <f>Kassavood!P50</f>
        <v>0</v>
      </c>
      <c r="E28" s="173">
        <f>Kassavood!Q50</f>
        <v>0</v>
      </c>
    </row>
    <row r="29" spans="1:5" ht="12.75">
      <c r="A29" s="120" t="str">
        <f>Kassavood!A51</f>
        <v>Elekter</v>
      </c>
      <c r="B29" s="173">
        <f>Kassavood!N51</f>
        <v>0</v>
      </c>
      <c r="C29" s="173">
        <f>Kassavood!O51</f>
        <v>0</v>
      </c>
      <c r="D29" s="173">
        <f>Kassavood!P51</f>
        <v>0</v>
      </c>
      <c r="E29" s="173">
        <f>Kassavood!Q51</f>
        <v>0</v>
      </c>
    </row>
    <row r="30" spans="1:5" ht="12.75">
      <c r="A30" s="120" t="str">
        <f>Kassavood!A52</f>
        <v>Rent</v>
      </c>
      <c r="B30" s="173">
        <f>Kassavood!N52</f>
        <v>0</v>
      </c>
      <c r="C30" s="173">
        <f>Kassavood!O52</f>
        <v>0</v>
      </c>
      <c r="D30" s="173">
        <f>Kassavood!P52</f>
        <v>0</v>
      </c>
      <c r="E30" s="173">
        <f>Kassavood!Q52</f>
        <v>0</v>
      </c>
    </row>
    <row r="31" spans="1:5" ht="12.75">
      <c r="A31" s="120" t="str">
        <f>Kassavood!A53</f>
        <v>Valveteenused</v>
      </c>
      <c r="B31" s="173">
        <f>Kassavood!N53</f>
        <v>0</v>
      </c>
      <c r="C31" s="173">
        <f>Kassavood!O53</f>
        <v>0</v>
      </c>
      <c r="D31" s="173">
        <f>Kassavood!P53</f>
        <v>0</v>
      </c>
      <c r="E31" s="173">
        <f>Kassavood!Q53</f>
        <v>0</v>
      </c>
    </row>
    <row r="32" spans="1:5" ht="12.75">
      <c r="A32" s="120" t="str">
        <f>Kassavood!A54</f>
        <v>Ruumide korrashoiukulud</v>
      </c>
      <c r="B32" s="173">
        <f>Kassavood!N54</f>
        <v>0</v>
      </c>
      <c r="C32" s="173">
        <f>Kassavood!O54</f>
        <v>0</v>
      </c>
      <c r="D32" s="173">
        <f>Kassavood!P54</f>
        <v>0</v>
      </c>
      <c r="E32" s="173">
        <f>Kassavood!Q54</f>
        <v>0</v>
      </c>
    </row>
    <row r="33" spans="1:5" ht="12.75">
      <c r="A33" s="120" t="str">
        <f>Kassavood!A55</f>
        <v>Ruumide remondikulud</v>
      </c>
      <c r="B33" s="176">
        <f>Kassavood!N55</f>
        <v>0</v>
      </c>
      <c r="C33" s="176">
        <f>Kassavood!O55</f>
        <v>0</v>
      </c>
      <c r="D33" s="176">
        <f>Kassavood!P55</f>
        <v>0</v>
      </c>
      <c r="E33" s="176">
        <f>Kassavood!Q55</f>
        <v>0</v>
      </c>
    </row>
    <row r="34" spans="1:5" ht="12.75">
      <c r="A34" s="120" t="str">
        <f>Kassavood!A56</f>
        <v>Ruumide kindlustus</v>
      </c>
      <c r="B34" s="173">
        <f>Kassavood!N56</f>
        <v>0</v>
      </c>
      <c r="C34" s="173">
        <f>Kassavood!O56</f>
        <v>0</v>
      </c>
      <c r="D34" s="173">
        <f>Kassavood!P56</f>
        <v>0</v>
      </c>
      <c r="E34" s="173">
        <f>Kassavood!Q56</f>
        <v>0</v>
      </c>
    </row>
    <row r="35" spans="1:5" ht="12.75">
      <c r="A35" s="131" t="s">
        <v>30</v>
      </c>
      <c r="B35" s="177"/>
      <c r="C35" s="177"/>
      <c r="D35" s="177"/>
      <c r="E35" s="177"/>
    </row>
    <row r="36" spans="1:5" ht="12.75">
      <c r="A36" s="120" t="str">
        <f>Kassavood!A58</f>
        <v>Ostetud transporditeenused</v>
      </c>
      <c r="B36" s="173">
        <f>Kassavood!N58</f>
        <v>0</v>
      </c>
      <c r="C36" s="173">
        <f>Kassavood!O58</f>
        <v>0</v>
      </c>
      <c r="D36" s="173">
        <f>Kassavood!P58</f>
        <v>0</v>
      </c>
      <c r="E36" s="173">
        <f>Kassavood!Q58</f>
        <v>0</v>
      </c>
    </row>
    <row r="37" spans="1:5" ht="12.75">
      <c r="A37" s="120" t="str">
        <f>Kassavood!A59</f>
        <v>Autokütus</v>
      </c>
      <c r="B37" s="178">
        <f>Kassavood!N59</f>
        <v>0</v>
      </c>
      <c r="C37" s="178">
        <f>Kassavood!O59</f>
        <v>0</v>
      </c>
      <c r="D37" s="178">
        <f>Kassavood!P59</f>
        <v>0</v>
      </c>
      <c r="E37" s="178">
        <f>Kassavood!Q59</f>
        <v>0</v>
      </c>
    </row>
    <row r="38" spans="1:5" ht="12.75">
      <c r="A38" s="120" t="str">
        <f>Kassavood!A60</f>
        <v>Autohooldus ja remondikulud</v>
      </c>
      <c r="B38" s="176">
        <f>Kassavood!N60</f>
        <v>0</v>
      </c>
      <c r="C38" s="176">
        <f>Kassavood!O60</f>
        <v>0</v>
      </c>
      <c r="D38" s="176">
        <f>Kassavood!P60</f>
        <v>0</v>
      </c>
      <c r="E38" s="176">
        <f>Kassavood!Q60</f>
        <v>0</v>
      </c>
    </row>
    <row r="39" spans="1:5" ht="12.75">
      <c r="A39" s="120" t="str">
        <f>Kassavood!A61</f>
        <v>Sõidukite kindlustus</v>
      </c>
      <c r="B39" s="173">
        <f>Kassavood!N61</f>
        <v>0</v>
      </c>
      <c r="C39" s="173">
        <f>Kassavood!O61</f>
        <v>0</v>
      </c>
      <c r="D39" s="173">
        <f>Kassavood!P61</f>
        <v>0</v>
      </c>
      <c r="E39" s="173">
        <f>Kassavood!Q61</f>
        <v>0</v>
      </c>
    </row>
    <row r="40" spans="1:5" ht="12.75">
      <c r="A40" s="131" t="s">
        <v>39</v>
      </c>
      <c r="B40" s="177"/>
      <c r="C40" s="177"/>
      <c r="D40" s="177"/>
      <c r="E40" s="177"/>
    </row>
    <row r="41" spans="1:5" ht="12.75">
      <c r="A41" s="120" t="str">
        <f>Kassavood!A63</f>
        <v>GSM</v>
      </c>
      <c r="B41" s="173">
        <f>Kassavood!N63</f>
        <v>0</v>
      </c>
      <c r="C41" s="173">
        <f>Kassavood!O63</f>
        <v>0</v>
      </c>
      <c r="D41" s="173">
        <f>Kassavood!P63</f>
        <v>0</v>
      </c>
      <c r="E41" s="173">
        <f>Kassavood!Q63</f>
        <v>0</v>
      </c>
    </row>
    <row r="42" spans="1:5" ht="12.75">
      <c r="A42" s="120" t="str">
        <f>Kassavood!A64</f>
        <v>Tavatelefon</v>
      </c>
      <c r="B42" s="179">
        <f>Kassavood!N64</f>
        <v>0</v>
      </c>
      <c r="C42" s="179">
        <f>Kassavood!O64</f>
        <v>0</v>
      </c>
      <c r="D42" s="179">
        <f>Kassavood!P64</f>
        <v>0</v>
      </c>
      <c r="E42" s="179">
        <f>Kassavood!Q64</f>
        <v>0</v>
      </c>
    </row>
    <row r="43" spans="1:5" ht="12.75">
      <c r="A43" s="120" t="str">
        <f>Kassavood!A65</f>
        <v>Arvutustehnika ja tarkavaraga seotud kulu</v>
      </c>
      <c r="B43" s="173">
        <f>Kassavood!N65</f>
        <v>0</v>
      </c>
      <c r="C43" s="173">
        <f>Kassavood!O65</f>
        <v>0</v>
      </c>
      <c r="D43" s="173">
        <f>Kassavood!P65</f>
        <v>0</v>
      </c>
      <c r="E43" s="173">
        <f>Kassavood!Q65</f>
        <v>0</v>
      </c>
    </row>
    <row r="44" spans="1:5" ht="12.75">
      <c r="A44" s="127" t="s">
        <v>45</v>
      </c>
      <c r="B44" s="177"/>
      <c r="C44" s="177"/>
      <c r="D44" s="177"/>
      <c r="E44" s="177"/>
    </row>
    <row r="45" spans="1:5" ht="12.75">
      <c r="A45" s="132" t="str">
        <f>Kassavood!A67</f>
        <v>Kantseleitarbed</v>
      </c>
      <c r="B45" s="173">
        <f>Kassavood!N67</f>
        <v>0</v>
      </c>
      <c r="C45" s="173">
        <f>Kassavood!O67</f>
        <v>0</v>
      </c>
      <c r="D45" s="173">
        <f>Kassavood!P67</f>
        <v>0</v>
      </c>
      <c r="E45" s="173">
        <f>Kassavood!Q67</f>
        <v>0</v>
      </c>
    </row>
    <row r="46" spans="1:5" ht="12.75">
      <c r="A46" s="132" t="str">
        <f>Kassavood!A68</f>
        <v>Pangakulu</v>
      </c>
      <c r="B46" s="178">
        <f>Kassavood!N68</f>
        <v>0</v>
      </c>
      <c r="C46" s="178">
        <f>Kassavood!O68</f>
        <v>0</v>
      </c>
      <c r="D46" s="178">
        <f>Kassavood!P68</f>
        <v>0</v>
      </c>
      <c r="E46" s="178">
        <f>Kassavood!Q68</f>
        <v>0</v>
      </c>
    </row>
    <row r="47" spans="1:5" ht="12.75">
      <c r="A47" s="132" t="str">
        <f>Kassavood!A69</f>
        <v>Seadmete hooldus ja remont</v>
      </c>
      <c r="B47" s="176">
        <f>Kassavood!N69</f>
        <v>0</v>
      </c>
      <c r="C47" s="176">
        <f>Kassavood!O69</f>
        <v>0</v>
      </c>
      <c r="D47" s="176">
        <f>Kassavood!P69</f>
        <v>0</v>
      </c>
      <c r="E47" s="176">
        <f>Kassavood!Q69</f>
        <v>0</v>
      </c>
    </row>
    <row r="48" spans="1:5" ht="12.75">
      <c r="A48" s="132" t="str">
        <f>Kassavood!A70</f>
        <v>Muud kulud</v>
      </c>
      <c r="B48" s="173">
        <f>Kassavood!N70</f>
        <v>0</v>
      </c>
      <c r="C48" s="173">
        <f>Kassavood!O70</f>
        <v>0</v>
      </c>
      <c r="D48" s="173">
        <f>Kassavood!P70</f>
        <v>0</v>
      </c>
      <c r="E48" s="173">
        <f>Kassavood!Q70</f>
        <v>0</v>
      </c>
    </row>
    <row r="49" spans="1:5" ht="12.75">
      <c r="A49" s="131" t="s">
        <v>41</v>
      </c>
      <c r="B49" s="177"/>
      <c r="C49" s="177"/>
      <c r="D49" s="177"/>
      <c r="E49" s="177"/>
    </row>
    <row r="50" spans="1:5" ht="12.75">
      <c r="A50" s="120" t="str">
        <f>Kassavood!A72</f>
        <v>Brutopalk (makstakse välja samal kuul)</v>
      </c>
      <c r="B50" s="173">
        <f>Kassavood!N72</f>
        <v>0</v>
      </c>
      <c r="C50" s="173">
        <f>Kassavood!O72</f>
        <v>0</v>
      </c>
      <c r="D50" s="173">
        <f>Kassavood!P72</f>
        <v>0</v>
      </c>
      <c r="E50" s="173">
        <f>Kassavood!Q72</f>
        <v>0</v>
      </c>
    </row>
    <row r="51" spans="1:5" ht="12.75">
      <c r="A51" s="120" t="str">
        <f>Kassavood!A73</f>
        <v>Sotsiaalmaks (tasutakse järgmisel kuul)</v>
      </c>
      <c r="B51" s="178">
        <f>Kassavood!N73</f>
        <v>0</v>
      </c>
      <c r="C51" s="178">
        <f>Kassavood!O73</f>
        <v>0</v>
      </c>
      <c r="D51" s="178">
        <f>Kassavood!P73</f>
        <v>0</v>
      </c>
      <c r="E51" s="178">
        <f>Kassavood!Q73</f>
        <v>0</v>
      </c>
    </row>
    <row r="52" spans="1:5" ht="12.75">
      <c r="A52" s="120" t="str">
        <f>Kassavood!A74</f>
        <v>Töötuskindlustusmaks (tasutakse jrgm kuul)</v>
      </c>
      <c r="B52" s="176">
        <f>Kassavood!N74</f>
        <v>0</v>
      </c>
      <c r="C52" s="176">
        <f>Kassavood!O74</f>
        <v>0</v>
      </c>
      <c r="D52" s="176">
        <f>Kassavood!P74</f>
        <v>0</v>
      </c>
      <c r="E52" s="176">
        <f>Kassavood!Q74</f>
        <v>0</v>
      </c>
    </row>
    <row r="53" spans="1:5" ht="12.75">
      <c r="A53" s="133" t="s">
        <v>150</v>
      </c>
      <c r="B53" s="180">
        <f>SUM(B50:B52)</f>
        <v>0</v>
      </c>
      <c r="C53" s="180">
        <f>SUM(C50:C52)</f>
        <v>0</v>
      </c>
      <c r="D53" s="180">
        <f>SUM(D50:D52)</f>
        <v>0</v>
      </c>
      <c r="E53" s="180">
        <f>SUM(E50:E52)</f>
        <v>0</v>
      </c>
    </row>
    <row r="54" spans="1:5" ht="12.75">
      <c r="A54" s="120" t="str">
        <f>Kassavood!A75</f>
        <v>Koolituskulud</v>
      </c>
      <c r="B54" s="173">
        <f>Kassavood!N75</f>
        <v>0</v>
      </c>
      <c r="C54" s="173">
        <f>Kassavood!O75</f>
        <v>0</v>
      </c>
      <c r="D54" s="173">
        <f>Kassavood!P75</f>
        <v>0</v>
      </c>
      <c r="E54" s="173">
        <f>Kassavood!Q75</f>
        <v>0</v>
      </c>
    </row>
    <row r="55" spans="1:5" ht="12.75">
      <c r="A55" s="127" t="s">
        <v>44</v>
      </c>
      <c r="B55" s="177"/>
      <c r="C55" s="177"/>
      <c r="D55" s="177"/>
      <c r="E55" s="177"/>
    </row>
    <row r="56" spans="1:5" ht="12.75">
      <c r="A56" s="120" t="str">
        <f>Kassavood!A77</f>
        <v>Muud maksud (riigilõivud jms)</v>
      </c>
      <c r="B56" s="173">
        <f>Kassavood!N77</f>
        <v>0</v>
      </c>
      <c r="C56" s="173">
        <f>Kassavood!O77</f>
        <v>0</v>
      </c>
      <c r="D56" s="173">
        <f>Kassavood!P77</f>
        <v>0</v>
      </c>
      <c r="E56" s="173">
        <f>Kassavood!Q77</f>
        <v>0</v>
      </c>
    </row>
    <row r="57" spans="1:5" ht="12.75">
      <c r="A57" s="130" t="s">
        <v>58</v>
      </c>
      <c r="B57" s="177"/>
      <c r="C57" s="177"/>
      <c r="D57" s="177"/>
      <c r="E57" s="177"/>
    </row>
    <row r="58" spans="1:5" ht="12.75">
      <c r="A58" s="120" t="s">
        <v>59</v>
      </c>
      <c r="B58" s="173">
        <f>Kassavood!N95</f>
        <v>0</v>
      </c>
      <c r="C58" s="173">
        <f>Kassavood!O95</f>
        <v>0</v>
      </c>
      <c r="D58" s="173">
        <f>Kassavood!P95</f>
        <v>0</v>
      </c>
      <c r="E58" s="173">
        <f>Kassavood!Q95</f>
        <v>0</v>
      </c>
    </row>
    <row r="59" spans="1:5" ht="12.75">
      <c r="A59" s="120" t="s">
        <v>167</v>
      </c>
      <c r="B59" s="239">
        <f>Kassavood!N96</f>
        <v>0</v>
      </c>
      <c r="C59" s="173">
        <f>Kassavood!O96</f>
        <v>0</v>
      </c>
      <c r="D59" s="173">
        <f>Kassavood!P96</f>
        <v>0</v>
      </c>
      <c r="E59" s="173">
        <f>Kassavood!Q96</f>
        <v>0</v>
      </c>
    </row>
    <row r="60" spans="1:5" ht="12.75">
      <c r="A60" s="120" t="s">
        <v>166</v>
      </c>
      <c r="B60" s="239">
        <f>Kassavood!N98</f>
        <v>0</v>
      </c>
      <c r="C60" s="173">
        <f>Kassavood!O98</f>
        <v>0</v>
      </c>
      <c r="D60" s="173">
        <f>Kassavood!P98</f>
        <v>0</v>
      </c>
      <c r="E60" s="173">
        <f>Kassavood!Q98</f>
        <v>0</v>
      </c>
    </row>
    <row r="61" spans="1:5" ht="12.75">
      <c r="A61" s="129"/>
      <c r="B61" s="240">
        <f>SUM(B58:B60)</f>
        <v>0</v>
      </c>
      <c r="C61" s="177">
        <f>SUM(C58:C60)</f>
        <v>0</v>
      </c>
      <c r="D61" s="177">
        <f>SUM(D58:D60)</f>
        <v>0</v>
      </c>
      <c r="E61" s="177">
        <f>SUM(E58:E60)</f>
        <v>0</v>
      </c>
    </row>
    <row r="62" spans="1:5" ht="12.75">
      <c r="A62" s="134" t="s">
        <v>57</v>
      </c>
      <c r="B62" s="220">
        <f>SUM(B18:B60)-B20-B25-B53</f>
        <v>0</v>
      </c>
      <c r="C62" s="175">
        <f>SUM(C18:C60)-C20-C25-C53</f>
        <v>0</v>
      </c>
      <c r="D62" s="175">
        <f>SUM(D18:D60)-D20-D25-D53</f>
        <v>0</v>
      </c>
      <c r="E62" s="175">
        <f>SUM(E18:E60)-E20-E25-E53</f>
        <v>0</v>
      </c>
    </row>
    <row r="63" spans="1:5" ht="12.75">
      <c r="A63" s="135" t="s">
        <v>155</v>
      </c>
      <c r="B63" s="181">
        <f>SUM(B28:B48)+SUM(B54:B56)</f>
        <v>0</v>
      </c>
      <c r="C63" s="181">
        <f>SUM(C28:C48)+SUM(C54:C56)</f>
        <v>0</v>
      </c>
      <c r="D63" s="181">
        <f>SUM(D28:D48)+SUM(D54:D56)</f>
        <v>0</v>
      </c>
      <c r="E63" s="181">
        <f>SUM(E28:E48)+SUM(E54:E56)</f>
        <v>0</v>
      </c>
    </row>
    <row r="64" spans="1:5" ht="12.75">
      <c r="A64" s="136" t="s">
        <v>67</v>
      </c>
      <c r="B64" s="182"/>
      <c r="C64" s="182"/>
      <c r="D64" s="182"/>
      <c r="E64" s="182"/>
    </row>
    <row r="65" spans="1:5" ht="12.75">
      <c r="A65" s="137" t="s">
        <v>112</v>
      </c>
      <c r="B65" s="175">
        <f>Kassavood!N82</f>
        <v>0</v>
      </c>
      <c r="C65" s="175">
        <f>Kassavood!O82</f>
        <v>0</v>
      </c>
      <c r="D65" s="175">
        <f>Kassavood!P82</f>
        <v>0</v>
      </c>
      <c r="E65" s="175">
        <f>Kassavood!Q82</f>
        <v>0</v>
      </c>
    </row>
    <row r="66" spans="1:5" ht="12.75">
      <c r="A66" s="136"/>
      <c r="B66" s="182"/>
      <c r="C66" s="182"/>
      <c r="D66" s="182"/>
      <c r="E66" s="182"/>
    </row>
    <row r="67" spans="1:5" ht="12.75">
      <c r="A67" s="134" t="s">
        <v>60</v>
      </c>
      <c r="B67" s="220">
        <f>B12-B62-B65</f>
        <v>0</v>
      </c>
      <c r="C67" s="220">
        <f>C12-C62-C65</f>
        <v>0</v>
      </c>
      <c r="D67" s="220">
        <f>D12-D62-D65</f>
        <v>0</v>
      </c>
      <c r="E67" s="220">
        <f>E12-E62-E65</f>
        <v>0</v>
      </c>
    </row>
    <row r="68" spans="1:5" ht="12.75">
      <c r="A68" s="134" t="s">
        <v>221</v>
      </c>
      <c r="B68" s="220">
        <f>B12-B62+B58+B59+B60</f>
        <v>0</v>
      </c>
      <c r="C68" s="220">
        <f>C12-C62+C58+C59+C60</f>
        <v>0</v>
      </c>
      <c r="D68" s="220">
        <f>D12-D62+D58+D59+D60</f>
        <v>0</v>
      </c>
      <c r="E68" s="220">
        <f>E12-E62+E58+E59+E60</f>
        <v>0</v>
      </c>
    </row>
    <row r="69" spans="1:6" ht="12.75">
      <c r="A69" s="134" t="s">
        <v>217</v>
      </c>
      <c r="B69" s="220" t="e">
        <f>Suhtarvud!D24*(B68-(Kassavood!N29+Kassavood!N30+Kassavood!N31+Kassavood!N32+Suhtarvud!D9))</f>
        <v>#DIV/0!</v>
      </c>
      <c r="C69" s="220" t="e">
        <f>Suhtarvud!E24*(C68-(Kassavood!O29+Kassavood!O30+Kassavood!O31+Kassavood!O32+Suhtarvud!E9))</f>
        <v>#DIV/0!</v>
      </c>
      <c r="D69" s="220" t="e">
        <f>Suhtarvud!F24*(D68-(Kassavood!P29+Kassavood!P30+Kassavood!P31+Kassavood!P32+Suhtarvud!F9))</f>
        <v>#DIV/0!</v>
      </c>
      <c r="E69" s="220" t="e">
        <f>Suhtarvud!G24*(E68-(Kassavood!Q29+Kassavood!Q30+Kassavood!Q31+Kassavood!Q32+Suhtarvud!G9))</f>
        <v>#DIV/0!</v>
      </c>
      <c r="F69" s="220" t="e">
        <f>((E68-(Kassavood!Q29+Kassavood!Q30+Kassavood!Q31+Kassavood!Q32+Suhtarvud!G9))/Suhtarvud!C25)</f>
        <v>#DIV/0!</v>
      </c>
    </row>
    <row r="70" spans="1:5" ht="12.75">
      <c r="A70" s="138" t="s">
        <v>160</v>
      </c>
      <c r="B70" s="153">
        <f>ROUND('Algandmed '!B7,2)</f>
        <v>0</v>
      </c>
      <c r="C70" s="153">
        <f>ROUND('Algandmed '!C7,2)</f>
        <v>0</v>
      </c>
      <c r="D70" s="153">
        <f>ROUND('Algandmed '!D7,2)</f>
        <v>0</v>
      </c>
      <c r="E70" s="153">
        <f>ROUND('Algandmed '!E7,2)</f>
        <v>0</v>
      </c>
    </row>
    <row r="71" spans="1:5" ht="12.75">
      <c r="A71" s="113" t="s">
        <v>159</v>
      </c>
      <c r="B71" s="154">
        <f>IF(B70&gt;0,(B67+B60+B59+B58+B53)/B70,"")</f>
      </c>
      <c r="C71" s="154">
        <f>IF(C70&gt;0,(C67+C60+C59+C58+C53)/C70,"")</f>
      </c>
      <c r="D71" s="154">
        <f>IF(D70&gt;0,(D67+D60+D59+D58+D53)/D70,"")</f>
      </c>
      <c r="E71" s="154">
        <f>IF(E70&gt;0,(E67+E60+E59+E58+E53)/E70,"")</f>
      </c>
    </row>
    <row r="72" spans="1:7" ht="12.75">
      <c r="A72" s="113" t="s">
        <v>158</v>
      </c>
      <c r="B72" s="169">
        <f>IF(B12&gt;0,B67/B12,"")</f>
      </c>
      <c r="C72" s="169">
        <f>IF(C12&gt;0,C67/C12,"")</f>
      </c>
      <c r="D72" s="169">
        <f>IF(D12&gt;0,D67/D12,"")</f>
      </c>
      <c r="E72" s="169">
        <f>IF(E12&gt;0,E67/E12,"")</f>
      </c>
      <c r="G72" s="267"/>
    </row>
  </sheetData>
  <sheetProtection password="C868" sheet="1"/>
  <conditionalFormatting sqref="B67:E70">
    <cfRule type="cellIs" priority="2" dxfId="0" operator="lessThan" stopIfTrue="1">
      <formula>0</formula>
    </cfRule>
  </conditionalFormatting>
  <conditionalFormatting sqref="F69">
    <cfRule type="cellIs" priority="1" dxfId="0" operator="lessThan" stopIfTrue="1">
      <formula>0</formula>
    </cfRule>
  </conditionalFormatting>
  <printOptions/>
  <pageMargins left="0.5905511811023623" right="0.7480314960629921" top="0.3937007874015748" bottom="0.1968503937007874" header="0" footer="0"/>
  <pageSetup fitToHeight="1" fitToWidth="1" horizontalDpi="600" verticalDpi="600" orientation="portrait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42.28125" style="142" customWidth="1"/>
    <col min="2" max="2" width="34.140625" style="148" customWidth="1"/>
    <col min="3" max="3" width="34.57421875" style="142" customWidth="1"/>
    <col min="4" max="4" width="38.28125" style="142" customWidth="1"/>
    <col min="5" max="5" width="30.140625" style="142" customWidth="1"/>
    <col min="6" max="6" width="43.57421875" style="142" customWidth="1"/>
    <col min="7" max="16384" width="9.140625" style="142" customWidth="1"/>
  </cols>
  <sheetData>
    <row r="1" spans="1:6" ht="12.75">
      <c r="A1" s="140" t="s">
        <v>70</v>
      </c>
      <c r="B1" s="193" t="s">
        <v>149</v>
      </c>
      <c r="C1" s="141" t="s">
        <v>54</v>
      </c>
      <c r="D1" s="141" t="s">
        <v>95</v>
      </c>
      <c r="E1" s="141" t="s">
        <v>96</v>
      </c>
      <c r="F1" s="141" t="s">
        <v>116</v>
      </c>
    </row>
    <row r="2" spans="1:6" ht="12.75">
      <c r="A2" s="140"/>
      <c r="B2" s="194" t="s">
        <v>183</v>
      </c>
      <c r="C2" s="143"/>
      <c r="D2" s="143"/>
      <c r="E2" s="143"/>
      <c r="F2" s="143"/>
    </row>
    <row r="3" spans="1:6" ht="12.75">
      <c r="A3" s="144"/>
      <c r="B3" s="145"/>
      <c r="C3" s="146"/>
      <c r="D3" s="146"/>
      <c r="E3" s="146"/>
      <c r="F3" s="146"/>
    </row>
    <row r="4" spans="1:6" ht="12.75">
      <c r="A4" s="140" t="s">
        <v>71</v>
      </c>
      <c r="B4" s="147"/>
      <c r="C4" s="146"/>
      <c r="D4" s="146"/>
      <c r="E4" s="146"/>
      <c r="F4" s="146"/>
    </row>
    <row r="5" spans="1:6" ht="12.75">
      <c r="A5" s="140"/>
      <c r="B5" s="147"/>
      <c r="C5" s="146"/>
      <c r="D5" s="146"/>
      <c r="E5" s="146"/>
      <c r="F5" s="146"/>
    </row>
    <row r="6" spans="1:6" ht="12.75">
      <c r="A6" s="155" t="s">
        <v>72</v>
      </c>
      <c r="B6" s="183"/>
      <c r="C6" s="184">
        <f>Kassavood!N87</f>
        <v>0</v>
      </c>
      <c r="D6" s="184">
        <f>Kassavood!O87</f>
        <v>0</v>
      </c>
      <c r="E6" s="184">
        <f>Kassavood!P87</f>
        <v>0</v>
      </c>
      <c r="F6" s="184">
        <f>Kassavood!Q87</f>
        <v>0</v>
      </c>
    </row>
    <row r="7" spans="1:6" ht="12.75">
      <c r="A7" s="155" t="s">
        <v>73</v>
      </c>
      <c r="B7" s="183"/>
      <c r="C7" s="184">
        <f>Kasumiaruanne!B5-Kassavood!N14</f>
        <v>0</v>
      </c>
      <c r="D7" s="184">
        <f>C7+Kasumiaruanne!C5-Kassavood!O14</f>
        <v>0</v>
      </c>
      <c r="E7" s="184">
        <f>D7+Kasumiaruanne!D5-Kassavood!P14</f>
        <v>0</v>
      </c>
      <c r="F7" s="184">
        <f>E7+Kasumiaruanne!E5-Kassavood!Q14</f>
        <v>0</v>
      </c>
    </row>
    <row r="8" spans="1:6" ht="12.75">
      <c r="A8" s="155" t="s">
        <v>74</v>
      </c>
      <c r="B8" s="183"/>
      <c r="C8" s="185"/>
      <c r="D8" s="185"/>
      <c r="E8" s="185"/>
      <c r="F8" s="185"/>
    </row>
    <row r="9" spans="1:6" ht="12.75">
      <c r="A9" s="155" t="s">
        <v>75</v>
      </c>
      <c r="B9" s="183"/>
      <c r="C9" s="185"/>
      <c r="D9" s="185"/>
      <c r="E9" s="185"/>
      <c r="F9" s="185"/>
    </row>
    <row r="10" spans="1:8" ht="12.75">
      <c r="A10" s="155" t="s">
        <v>109</v>
      </c>
      <c r="B10" s="183"/>
      <c r="C10" s="184">
        <f>Kassavood!N38-Kasumiaruanne!B18</f>
        <v>0</v>
      </c>
      <c r="D10" s="184">
        <f>C10+Kassavood!O38-Tooted!S5</f>
        <v>0</v>
      </c>
      <c r="E10" s="184">
        <f>D10+Kassavood!P38-Tooted!T5</f>
        <v>0</v>
      </c>
      <c r="F10" s="184">
        <f>E10+Kassavood!Q38-Tooted!U5</f>
        <v>0</v>
      </c>
      <c r="H10" s="268"/>
    </row>
    <row r="11" spans="1:6" ht="12.75">
      <c r="A11" s="155" t="s">
        <v>76</v>
      </c>
      <c r="B11" s="183"/>
      <c r="C11" s="185"/>
      <c r="D11" s="185"/>
      <c r="E11" s="185"/>
      <c r="F11" s="185"/>
    </row>
    <row r="12" spans="1:6" ht="12.75">
      <c r="A12" s="156" t="s">
        <v>77</v>
      </c>
      <c r="B12" s="186">
        <f>SUM(B6:B11)</f>
        <v>0</v>
      </c>
      <c r="C12" s="187">
        <f>SUM(C6:C11)</f>
        <v>0</v>
      </c>
      <c r="D12" s="187">
        <f>SUM(D6:D11)</f>
        <v>0</v>
      </c>
      <c r="E12" s="187">
        <f>SUM(E6:E11)</f>
        <v>0</v>
      </c>
      <c r="F12" s="187">
        <f>SUM(F6:F11)</f>
        <v>0</v>
      </c>
    </row>
    <row r="13" spans="1:6" ht="12.75">
      <c r="A13" s="157"/>
      <c r="B13" s="158"/>
      <c r="C13" s="159"/>
      <c r="D13" s="159"/>
      <c r="E13" s="159"/>
      <c r="F13" s="159"/>
    </row>
    <row r="14" spans="1:6" ht="12.75">
      <c r="A14" s="314" t="s">
        <v>169</v>
      </c>
      <c r="B14" s="314"/>
      <c r="C14" s="314"/>
      <c r="D14" s="314"/>
      <c r="E14" s="314"/>
      <c r="F14" s="314"/>
    </row>
    <row r="15" spans="1:6" ht="12.75">
      <c r="A15" s="155" t="s">
        <v>120</v>
      </c>
      <c r="B15" s="183"/>
      <c r="C15" s="184">
        <f>B15+Kassavood!N93</f>
        <v>0</v>
      </c>
      <c r="D15" s="184">
        <f>B15+Kassavood!O93</f>
        <v>0</v>
      </c>
      <c r="E15" s="184">
        <f>B15+Kassavood!P93</f>
        <v>0</v>
      </c>
      <c r="F15" s="184">
        <f>B15+Kassavood!Q93</f>
        <v>0</v>
      </c>
    </row>
    <row r="16" spans="1:6" ht="12.75">
      <c r="A16" s="155" t="s">
        <v>168</v>
      </c>
      <c r="B16" s="183"/>
      <c r="C16" s="184">
        <f>B16+Kassavood!N94</f>
        <v>0</v>
      </c>
      <c r="D16" s="184">
        <f>B16+Kassavood!O94</f>
        <v>0</v>
      </c>
      <c r="E16" s="184">
        <f>B16+Kassavood!P94</f>
        <v>0</v>
      </c>
      <c r="F16" s="184">
        <f>B16+Kassavood!Q94</f>
        <v>0</v>
      </c>
    </row>
    <row r="17" spans="1:6" ht="12.75">
      <c r="A17" s="155" t="s">
        <v>121</v>
      </c>
      <c r="B17" s="183"/>
      <c r="C17" s="241">
        <f>B17-Kassavood!N95-Kassavood!N96</f>
        <v>0</v>
      </c>
      <c r="D17" s="241">
        <f>C17-Kassavood!O95-Kassavood!O96</f>
        <v>0</v>
      </c>
      <c r="E17" s="241">
        <f>D17-Kassavood!P95-Kassavood!P96</f>
        <v>0</v>
      </c>
      <c r="F17" s="241">
        <f>E17-Kassavood!Q95-Kassavood!Q96</f>
        <v>0</v>
      </c>
    </row>
    <row r="18" spans="1:6" ht="12.75">
      <c r="A18" s="311" t="s">
        <v>170</v>
      </c>
      <c r="B18" s="312"/>
      <c r="C18" s="312"/>
      <c r="D18" s="312"/>
      <c r="E18" s="312"/>
      <c r="F18" s="313"/>
    </row>
    <row r="19" spans="1:6" ht="12.75">
      <c r="A19" s="155" t="s">
        <v>170</v>
      </c>
      <c r="B19" s="183"/>
      <c r="C19" s="184">
        <f>B19+Kassavood!N97</f>
        <v>0</v>
      </c>
      <c r="D19" s="184">
        <f>B19+Kassavood!O97</f>
        <v>0</v>
      </c>
      <c r="E19" s="184">
        <f>B19+Kassavood!P97</f>
        <v>0</v>
      </c>
      <c r="F19" s="184">
        <f>B19+Kassavood!Q97</f>
        <v>0</v>
      </c>
    </row>
    <row r="20" spans="1:6" ht="12.75">
      <c r="A20" s="155" t="s">
        <v>171</v>
      </c>
      <c r="B20" s="183"/>
      <c r="C20" s="184">
        <f>B20-Kassavood!N98</f>
        <v>0</v>
      </c>
      <c r="D20" s="184">
        <f>C20-Kassavood!O98</f>
        <v>0</v>
      </c>
      <c r="E20" s="184">
        <f>D20-Kassavood!P98</f>
        <v>0</v>
      </c>
      <c r="F20" s="184">
        <f>E20-Kassavood!Q98</f>
        <v>0</v>
      </c>
    </row>
    <row r="21" spans="1:6" ht="12.75">
      <c r="A21" s="155" t="s">
        <v>121</v>
      </c>
      <c r="B21" s="275"/>
      <c r="C21" s="244">
        <f>B21-Kassavood!N98</f>
        <v>0</v>
      </c>
      <c r="D21" s="244">
        <f>C21-Kassavood!O98</f>
        <v>0</v>
      </c>
      <c r="E21" s="244">
        <f>D21-Kassavood!P98</f>
        <v>0</v>
      </c>
      <c r="F21" s="244">
        <f>E21-Kassavood!Q98</f>
        <v>0</v>
      </c>
    </row>
    <row r="22" spans="1:6" ht="12.75">
      <c r="A22" s="156" t="s">
        <v>78</v>
      </c>
      <c r="B22" s="186">
        <f>SUM(B15:B21)</f>
        <v>0</v>
      </c>
      <c r="C22" s="245">
        <f>SUM(C15:C21)</f>
        <v>0</v>
      </c>
      <c r="D22" s="245">
        <f>SUM(D15:D21)</f>
        <v>0</v>
      </c>
      <c r="E22" s="245">
        <f>SUM(E15:E21)</f>
        <v>0</v>
      </c>
      <c r="F22" s="245">
        <f>SUM(F15:F21)</f>
        <v>0</v>
      </c>
    </row>
    <row r="23" spans="1:6" ht="12.75">
      <c r="A23" s="160"/>
      <c r="B23" s="188"/>
      <c r="C23" s="246"/>
      <c r="D23" s="246"/>
      <c r="E23" s="246"/>
      <c r="F23" s="246"/>
    </row>
    <row r="24" spans="1:6" ht="12.75">
      <c r="A24" s="157" t="s">
        <v>79</v>
      </c>
      <c r="B24" s="190">
        <f>B12+B22</f>
        <v>0</v>
      </c>
      <c r="C24" s="243">
        <f>C12+C22</f>
        <v>0</v>
      </c>
      <c r="D24" s="243">
        <f>D12+D22</f>
        <v>0</v>
      </c>
      <c r="E24" s="243">
        <f>E12+E22</f>
        <v>0</v>
      </c>
      <c r="F24" s="243">
        <f>F12+F22</f>
        <v>0</v>
      </c>
    </row>
    <row r="25" spans="1:6" ht="12.75">
      <c r="A25" s="157"/>
      <c r="B25" s="158"/>
      <c r="C25" s="161"/>
      <c r="D25" s="161"/>
      <c r="E25" s="161"/>
      <c r="F25" s="161"/>
    </row>
    <row r="26" spans="1:6" ht="12.75">
      <c r="A26" s="157"/>
      <c r="B26" s="158"/>
      <c r="C26" s="161"/>
      <c r="D26" s="161"/>
      <c r="E26" s="161"/>
      <c r="F26" s="161"/>
    </row>
    <row r="27" spans="1:6" ht="12.75">
      <c r="A27" s="162"/>
      <c r="B27" s="163"/>
      <c r="C27" s="159"/>
      <c r="D27" s="159"/>
      <c r="E27" s="159"/>
      <c r="F27" s="159"/>
    </row>
    <row r="28" spans="1:6" ht="12.75">
      <c r="A28" s="157" t="s">
        <v>80</v>
      </c>
      <c r="B28" s="158"/>
      <c r="C28" s="159"/>
      <c r="D28" s="159"/>
      <c r="E28" s="159"/>
      <c r="F28" s="159"/>
    </row>
    <row r="29" spans="1:6" ht="12.75">
      <c r="A29" s="164"/>
      <c r="B29" s="165"/>
      <c r="C29" s="159"/>
      <c r="D29" s="159"/>
      <c r="E29" s="159"/>
      <c r="F29" s="159"/>
    </row>
    <row r="30" spans="1:6" ht="12.75">
      <c r="A30" s="155" t="s">
        <v>123</v>
      </c>
      <c r="B30" s="183">
        <v>0</v>
      </c>
      <c r="C30" s="184">
        <f>IF(Kassavood!N81="Viga, kliki siin!",B30,(B30+Kassavood!N22-Kassavood!N81))</f>
        <v>0</v>
      </c>
      <c r="D30" s="184">
        <f>C30+Kassavood!O22-Kassavood!O81</f>
        <v>0</v>
      </c>
      <c r="E30" s="184">
        <f>D30+Kassavood!P22-Kassavood!P81</f>
        <v>0</v>
      </c>
      <c r="F30" s="184">
        <f>E30+Kassavood!Q22-Kassavood!Q81</f>
        <v>0</v>
      </c>
    </row>
    <row r="31" spans="1:6" ht="12.75">
      <c r="A31" s="155" t="s">
        <v>122</v>
      </c>
      <c r="B31" s="183"/>
      <c r="C31" s="184">
        <f>IF(Kassavood!O80&gt;0,Kassavood!O80,0)</f>
        <v>0</v>
      </c>
      <c r="D31" s="184">
        <f>IF(Kassavood!P80&gt;0,Kassavood!P80,0)</f>
        <v>0</v>
      </c>
      <c r="E31" s="184">
        <f>IF(Kassavood!Q80&gt;0,Kassavood!Q80,0)</f>
        <v>0</v>
      </c>
      <c r="F31" s="184">
        <f>IF(Kassavood!R80&gt;0,Kassavood!R80,0)</f>
        <v>0</v>
      </c>
    </row>
    <row r="32" spans="1:6" ht="12.75">
      <c r="A32" s="155" t="s">
        <v>81</v>
      </c>
      <c r="B32" s="183"/>
      <c r="C32" s="185"/>
      <c r="D32" s="185"/>
      <c r="E32" s="185"/>
      <c r="F32" s="185"/>
    </row>
    <row r="33" spans="1:6" ht="12.75">
      <c r="A33" s="155" t="s">
        <v>82</v>
      </c>
      <c r="B33" s="183"/>
      <c r="C33" s="185"/>
      <c r="D33" s="185"/>
      <c r="E33" s="185"/>
      <c r="F33" s="185"/>
    </row>
    <row r="34" spans="1:6" ht="12.75">
      <c r="A34" s="155" t="s">
        <v>83</v>
      </c>
      <c r="B34" s="183"/>
      <c r="C34" s="185"/>
      <c r="D34" s="185"/>
      <c r="E34" s="185"/>
      <c r="F34" s="185"/>
    </row>
    <row r="35" spans="1:6" ht="12.75">
      <c r="A35" s="155" t="s">
        <v>84</v>
      </c>
      <c r="B35" s="183"/>
      <c r="C35" s="184">
        <f>Kassavood!N19-Kassavood!N78-Kassavood!N73-Kassavood!N74+Kasumiaruanne!B51+Kasumiaruanne!B52-Kassavood!N83</f>
        <v>0</v>
      </c>
      <c r="D35" s="184">
        <f>C35+Kassavood!O19-Kassavood!O78-Kassavood!O73-Kassavood!O74+Kasumiaruanne!C51+Kasumiaruanne!C52-Kassavood!O83</f>
        <v>0</v>
      </c>
      <c r="E35" s="184">
        <f>D35+Kassavood!P19-Kassavood!P78-Kassavood!P73-Kassavood!P74+Kasumiaruanne!D51+Kasumiaruanne!D52-Kassavood!P83</f>
        <v>0</v>
      </c>
      <c r="F35" s="184">
        <f>E35+Kassavood!Q19-Kassavood!Q78-Kassavood!Q73-Kassavood!Q74+Kasumiaruanne!E51+Kasumiaruanne!E52-Kassavood!Q83</f>
        <v>0</v>
      </c>
    </row>
    <row r="36" spans="1:6" ht="12.75">
      <c r="A36" s="166" t="s">
        <v>85</v>
      </c>
      <c r="B36" s="186">
        <f>SUM(B30:B35)</f>
        <v>0</v>
      </c>
      <c r="C36" s="187">
        <f>SUM(C30:C35)</f>
        <v>0</v>
      </c>
      <c r="D36" s="187">
        <f>SUM(D30:D35)</f>
        <v>0</v>
      </c>
      <c r="E36" s="187">
        <f>SUM(E30:E35)</f>
        <v>0</v>
      </c>
      <c r="F36" s="187">
        <f>SUM(F30:F35)</f>
        <v>0</v>
      </c>
    </row>
    <row r="37" spans="1:6" ht="12.75">
      <c r="A37" s="164"/>
      <c r="B37" s="191"/>
      <c r="C37" s="189"/>
      <c r="D37" s="189"/>
      <c r="E37" s="189"/>
      <c r="F37" s="189"/>
    </row>
    <row r="38" spans="1:6" ht="12.75">
      <c r="A38" s="155" t="s">
        <v>86</v>
      </c>
      <c r="B38" s="183"/>
      <c r="C38" s="184">
        <f>B38+Kassavood!N21-C31</f>
        <v>0</v>
      </c>
      <c r="D38" s="184">
        <f>C38+Kassavood!O21-D31</f>
        <v>0</v>
      </c>
      <c r="E38" s="184">
        <f>D38+Kassavood!P21-E31</f>
        <v>0</v>
      </c>
      <c r="F38" s="184">
        <f>E38+Kassavood!Q21-F31</f>
        <v>0</v>
      </c>
    </row>
    <row r="39" spans="1:6" ht="12.75">
      <c r="A39" s="155" t="s">
        <v>87</v>
      </c>
      <c r="B39" s="183"/>
      <c r="C39" s="185"/>
      <c r="D39" s="185"/>
      <c r="E39" s="185"/>
      <c r="F39" s="185"/>
    </row>
    <row r="40" spans="1:6" ht="12.75">
      <c r="A40" s="156" t="s">
        <v>88</v>
      </c>
      <c r="B40" s="186">
        <f>SUM(B38:B39)</f>
        <v>0</v>
      </c>
      <c r="C40" s="187">
        <f>SUM(C38:C39)</f>
        <v>0</v>
      </c>
      <c r="D40" s="187">
        <f>SUM(D38:D39)</f>
        <v>0</v>
      </c>
      <c r="E40" s="187">
        <f>SUM(E38:E39)</f>
        <v>0</v>
      </c>
      <c r="F40" s="187">
        <f>SUM(F38:F39)</f>
        <v>0</v>
      </c>
    </row>
    <row r="41" spans="1:6" ht="12.75">
      <c r="A41" s="162"/>
      <c r="B41" s="192"/>
      <c r="C41" s="189"/>
      <c r="D41" s="189"/>
      <c r="E41" s="189"/>
      <c r="F41" s="189"/>
    </row>
    <row r="42" spans="1:6" ht="12.75">
      <c r="A42" s="155" t="s">
        <v>89</v>
      </c>
      <c r="B42" s="183"/>
      <c r="C42" s="184">
        <f>B42+Kassavood!N20</f>
        <v>0</v>
      </c>
      <c r="D42" s="184">
        <f>C42+Kassavood!O20</f>
        <v>0</v>
      </c>
      <c r="E42" s="184">
        <f>D42+Kassavood!P20</f>
        <v>0</v>
      </c>
      <c r="F42" s="184">
        <f>E42+Kassavood!Q20</f>
        <v>0</v>
      </c>
    </row>
    <row r="43" spans="1:6" ht="12.75">
      <c r="A43" s="155" t="s">
        <v>90</v>
      </c>
      <c r="B43" s="183"/>
      <c r="C43" s="241">
        <f>IF(B45&gt;B42*0.1,B42*0.1,IF(B45&lt;0,0,B45*0.1))</f>
        <v>0</v>
      </c>
      <c r="D43" s="241">
        <f>IF(C45&gt;C42*0.1,C42*0.1,IF(C45&lt;0,0,C45*0.1))</f>
        <v>0</v>
      </c>
      <c r="E43" s="241">
        <f>IF(D45&gt;D42*0.1,D42*0.1,IF(D45&lt;0,0,D45*0.1))</f>
        <v>0</v>
      </c>
      <c r="F43" s="241">
        <f>IF(E45&gt;E42*0.1,E42*0.1,IF(E45&lt;0,0,E45*0.1))</f>
        <v>0</v>
      </c>
    </row>
    <row r="44" spans="1:6" ht="12.75">
      <c r="A44" s="155" t="s">
        <v>91</v>
      </c>
      <c r="B44" s="183">
        <v>0</v>
      </c>
      <c r="C44" s="241">
        <f>(B45+B44-Kassavood!N84)-C43</f>
        <v>0</v>
      </c>
      <c r="D44" s="241">
        <f>(C44+C45-Kassavood!O84)-(D43-C43)</f>
        <v>0</v>
      </c>
      <c r="E44" s="241">
        <f>(D44+D45-E43+D43-Kassavood!P84)</f>
        <v>0</v>
      </c>
      <c r="F44" s="241">
        <f>(E44+E45-F43+E43-Kassavood!Q84)</f>
        <v>0</v>
      </c>
    </row>
    <row r="45" spans="1:6" ht="12.75">
      <c r="A45" s="155" t="s">
        <v>92</v>
      </c>
      <c r="B45" s="183">
        <v>0</v>
      </c>
      <c r="C45" s="241">
        <f>Kasumiaruanne!B67</f>
        <v>0</v>
      </c>
      <c r="D45" s="241">
        <f>Kasumiaruanne!C67</f>
        <v>0</v>
      </c>
      <c r="E45" s="241">
        <f>Kasumiaruanne!D67</f>
        <v>0</v>
      </c>
      <c r="F45" s="241">
        <f>Kasumiaruanne!E67</f>
        <v>0</v>
      </c>
    </row>
    <row r="46" spans="1:6" ht="12.75">
      <c r="A46" s="166" t="s">
        <v>93</v>
      </c>
      <c r="B46" s="184">
        <f>SUM(B42:B45)</f>
        <v>0</v>
      </c>
      <c r="C46" s="241">
        <f>SUM(C42:C45)</f>
        <v>0</v>
      </c>
      <c r="D46" s="241">
        <f>SUM(D42:D45)</f>
        <v>0</v>
      </c>
      <c r="E46" s="241">
        <f>SUM(E42:E45)</f>
        <v>0</v>
      </c>
      <c r="F46" s="241">
        <f>SUM(F42:F45)</f>
        <v>0</v>
      </c>
    </row>
    <row r="47" spans="1:6" ht="12.75">
      <c r="A47" s="167"/>
      <c r="B47" s="168"/>
      <c r="C47" s="242"/>
      <c r="D47" s="242"/>
      <c r="E47" s="242"/>
      <c r="F47" s="242"/>
    </row>
    <row r="48" spans="1:6" ht="12.75">
      <c r="A48" s="157" t="s">
        <v>94</v>
      </c>
      <c r="B48" s="190">
        <f>B36+B40+B46</f>
        <v>0</v>
      </c>
      <c r="C48" s="243">
        <f>C36+C40+C46</f>
        <v>0</v>
      </c>
      <c r="D48" s="243">
        <f>D36+D40+D46</f>
        <v>0</v>
      </c>
      <c r="E48" s="243">
        <f>E36+E40+E46</f>
        <v>0</v>
      </c>
      <c r="F48" s="243">
        <f>F36+F40+F46</f>
        <v>0</v>
      </c>
    </row>
  </sheetData>
  <sheetProtection password="C868" sheet="1"/>
  <mergeCells count="2">
    <mergeCell ref="A18:F18"/>
    <mergeCell ref="A14:F14"/>
  </mergeCells>
  <printOptions/>
  <pageMargins left="0.5905511811023623" right="0.7480314960629921" top="0.984251968503937" bottom="0.984251968503937" header="0" footer="0"/>
  <pageSetup fitToHeight="1" fitToWidth="1" horizontalDpi="600" verticalDpi="600" orientation="portrait" paperSize="9" scale="9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K26"/>
  <sheetViews>
    <sheetView zoomScale="90" zoomScaleNormal="90" zoomScalePageLayoutView="0" workbookViewId="0" topLeftCell="A1">
      <selection activeCell="E30" sqref="E30"/>
    </sheetView>
  </sheetViews>
  <sheetFormatPr defaultColWidth="9.140625" defaultRowHeight="12.75"/>
  <cols>
    <col min="2" max="2" width="47.00390625" style="0" customWidth="1"/>
    <col min="3" max="3" width="26.7109375" style="0" customWidth="1"/>
    <col min="4" max="4" width="37.57421875" style="0" customWidth="1"/>
    <col min="5" max="5" width="36.00390625" style="0" customWidth="1"/>
    <col min="6" max="6" width="37.00390625" style="0" customWidth="1"/>
    <col min="7" max="7" width="45.140625" style="0" customWidth="1"/>
  </cols>
  <sheetData>
    <row r="3" spans="4:7" ht="12.75">
      <c r="D3" s="223" t="s">
        <v>54</v>
      </c>
      <c r="E3" s="223" t="s">
        <v>95</v>
      </c>
      <c r="F3" s="223" t="s">
        <v>96</v>
      </c>
      <c r="G3" s="223" t="s">
        <v>116</v>
      </c>
    </row>
    <row r="4" spans="4:7" ht="12.75">
      <c r="D4" s="224"/>
      <c r="E4" s="224"/>
      <c r="F4" s="224"/>
      <c r="G4" s="224"/>
    </row>
    <row r="5" spans="2:7" ht="12.75">
      <c r="B5" s="225" t="s">
        <v>184</v>
      </c>
      <c r="C5" s="262"/>
      <c r="D5" s="117" t="e">
        <f>(Bilanss!C36+Bilanss!C40)/Bilanss!C46</f>
        <v>#DIV/0!</v>
      </c>
      <c r="E5" s="117" t="e">
        <f>(Bilanss!D36+Bilanss!D40)/Bilanss!D46</f>
        <v>#DIV/0!</v>
      </c>
      <c r="F5" s="117" t="e">
        <f>(Bilanss!E36+Bilanss!E40)/Bilanss!E46</f>
        <v>#DIV/0!</v>
      </c>
      <c r="G5" s="117" t="e">
        <f>(Bilanss!F36+Bilanss!F40)/Bilanss!F46</f>
        <v>#DIV/0!</v>
      </c>
    </row>
    <row r="6" spans="2:7" ht="12.75">
      <c r="B6" s="225" t="s">
        <v>185</v>
      </c>
      <c r="C6" s="262"/>
      <c r="D6" s="117" t="e">
        <f>(Kasumiaruanne!B67+Kasumiaruanne!B65)/(Bilanss!C12+Bilanss!C22)</f>
        <v>#DIV/0!</v>
      </c>
      <c r="E6" s="117" t="e">
        <f>(Kasumiaruanne!C67+Kasumiaruanne!C65)/(Bilanss!D12+Bilanss!D22)</f>
        <v>#DIV/0!</v>
      </c>
      <c r="F6" s="117" t="e">
        <f>(Kasumiaruanne!D67+Kasumiaruanne!D65)/(Bilanss!E12+Bilanss!E22)</f>
        <v>#DIV/0!</v>
      </c>
      <c r="G6" s="117" t="e">
        <f>(Kasumiaruanne!E67+Kasumiaruanne!E65)/(Bilanss!F12+Bilanss!F22)</f>
        <v>#DIV/0!</v>
      </c>
    </row>
    <row r="7" spans="2:7" ht="12.75">
      <c r="B7" s="225" t="s">
        <v>186</v>
      </c>
      <c r="C7" s="262"/>
      <c r="D7" s="264">
        <f>(Bilanss!C12-Bilanss!C36)</f>
        <v>0</v>
      </c>
      <c r="E7" s="276">
        <f>(Bilanss!D12-Bilanss!D36)</f>
        <v>0</v>
      </c>
      <c r="F7" s="264">
        <f>(Bilanss!E12-Bilanss!E36)</f>
        <v>0</v>
      </c>
      <c r="G7" s="264">
        <f>(Bilanss!F12-Bilanss!F36)</f>
        <v>0</v>
      </c>
    </row>
    <row r="8" spans="2:7" ht="12.75">
      <c r="B8" s="225" t="s">
        <v>187</v>
      </c>
      <c r="C8" s="262"/>
      <c r="D8" s="117" t="e">
        <f>Bilanss!C12/(Bilanss!C12+Bilanss!C22)</f>
        <v>#DIV/0!</v>
      </c>
      <c r="E8" s="117" t="e">
        <f>Bilanss!D12/(Bilanss!D12+Bilanss!D22)</f>
        <v>#DIV/0!</v>
      </c>
      <c r="F8" s="117" t="e">
        <f>Bilanss!E12/(Bilanss!E12+Bilanss!E22)</f>
        <v>#DIV/0!</v>
      </c>
      <c r="G8" s="117" t="e">
        <f>Bilanss!F12/(Bilanss!F12+Bilanss!F22)</f>
        <v>#DIV/0!</v>
      </c>
    </row>
    <row r="9" spans="2:7" ht="12.75">
      <c r="B9" s="225" t="s">
        <v>220</v>
      </c>
      <c r="C9" s="262"/>
      <c r="D9" s="264">
        <f>(Bilanss!C7+Bilanss!C10+Bilanss!C11-Bilanss!C33)-(Bilanss!B7+Bilanss!B10+Bilanss!B11-Bilanss!B33)</f>
        <v>0</v>
      </c>
      <c r="E9" s="264">
        <f>(Bilanss!D7+Bilanss!D10+Bilanss!D11-Bilanss!D33)-(Bilanss!C7+Bilanss!C10+Bilanss!C11-Bilanss!C33)</f>
        <v>0</v>
      </c>
      <c r="F9" s="264">
        <f>(Bilanss!E7+Bilanss!E10+Bilanss!E11-Bilanss!E33)-(Bilanss!D7+Bilanss!D10+Bilanss!D11-Bilanss!D33)</f>
        <v>0</v>
      </c>
      <c r="G9" s="264">
        <f>(Bilanss!F7+Bilanss!F10+Bilanss!F11-Bilanss!F33)-(Bilanss!E7+Bilanss!E10+Bilanss!E11-Bilanss!E33)</f>
        <v>0</v>
      </c>
    </row>
    <row r="10" spans="2:7" ht="12.75">
      <c r="B10" s="225" t="s">
        <v>188</v>
      </c>
      <c r="C10" s="262"/>
      <c r="D10" s="117" t="e">
        <f>Bilanss!C12/Bilanss!C36</f>
        <v>#DIV/0!</v>
      </c>
      <c r="E10" s="117" t="e">
        <f>Bilanss!D12/Bilanss!D36</f>
        <v>#DIV/0!</v>
      </c>
      <c r="F10" s="117" t="e">
        <f>Bilanss!E12/Bilanss!E36</f>
        <v>#DIV/0!</v>
      </c>
      <c r="G10" s="117" t="e">
        <f>Bilanss!F12/Bilanss!F36</f>
        <v>#DIV/0!</v>
      </c>
    </row>
    <row r="11" spans="2:7" ht="12.75">
      <c r="B11" s="225" t="s">
        <v>189</v>
      </c>
      <c r="C11" s="262"/>
      <c r="D11" s="264" t="e">
        <f>Bilanss!C12-(Bilanss!C10+Bilanss!C11)/Bilanss!C36</f>
        <v>#DIV/0!</v>
      </c>
      <c r="E11" s="264" t="e">
        <f>Bilanss!D12-(Bilanss!D10+Bilanss!D11)/Bilanss!D36</f>
        <v>#DIV/0!</v>
      </c>
      <c r="F11" s="264" t="e">
        <f>Bilanss!E12-(Bilanss!E10+Bilanss!E11)/Bilanss!E36</f>
        <v>#DIV/0!</v>
      </c>
      <c r="G11" s="264" t="e">
        <f>Bilanss!F12-(Bilanss!F10+Bilanss!F11)/Bilanss!F36</f>
        <v>#DIV/0!</v>
      </c>
    </row>
    <row r="12" spans="2:7" ht="12.75">
      <c r="B12" s="225" t="s">
        <v>190</v>
      </c>
      <c r="C12" s="262"/>
      <c r="D12" s="117" t="e">
        <f>(Bilanss!C36+Bilanss!C40)/(Bilanss!C12+Bilanss!C22)</f>
        <v>#DIV/0!</v>
      </c>
      <c r="E12" s="117" t="e">
        <f>(Bilanss!D36+Bilanss!D40)/(Bilanss!D12+Bilanss!D22)</f>
        <v>#DIV/0!</v>
      </c>
      <c r="F12" s="117" t="e">
        <f>(Bilanss!E36+Bilanss!E40)/(Bilanss!E12+Bilanss!E22)</f>
        <v>#DIV/0!</v>
      </c>
      <c r="G12" s="117" t="e">
        <f>(Bilanss!F36+Bilanss!F40)/(Bilanss!F12+Bilanss!F22)</f>
        <v>#DIV/0!</v>
      </c>
    </row>
    <row r="13" spans="2:7" ht="12.75">
      <c r="B13" s="225" t="s">
        <v>191</v>
      </c>
      <c r="C13" s="262"/>
      <c r="D13" s="117" t="e">
        <f>(Bilanss!C12+Bilanss!C22)/Bilanss!C46</f>
        <v>#DIV/0!</v>
      </c>
      <c r="E13" s="117" t="e">
        <f>(Bilanss!D12+Bilanss!D22)/Bilanss!D46</f>
        <v>#DIV/0!</v>
      </c>
      <c r="F13" s="117" t="e">
        <f>(Bilanss!E12+Bilanss!E22)/Bilanss!E46</f>
        <v>#DIV/0!</v>
      </c>
      <c r="G13" s="117" t="e">
        <f>(Bilanss!F12+Bilanss!F22)/Bilanss!F46</f>
        <v>#DIV/0!</v>
      </c>
    </row>
    <row r="14" spans="2:7" ht="12.75">
      <c r="B14" s="225" t="s">
        <v>192</v>
      </c>
      <c r="C14" s="262"/>
      <c r="D14" s="117" t="e">
        <f>Bilanss!C46/(Bilanss!C36+Bilanss!C40)</f>
        <v>#DIV/0!</v>
      </c>
      <c r="E14" s="117" t="e">
        <f>Bilanss!D46/(Bilanss!D36+Bilanss!D40)</f>
        <v>#DIV/0!</v>
      </c>
      <c r="F14" s="117" t="e">
        <f>Bilanss!E46/(Bilanss!E36+Bilanss!E40)</f>
        <v>#DIV/0!</v>
      </c>
      <c r="G14" s="117" t="e">
        <f>Bilanss!F46/(Bilanss!F36+Bilanss!F40)</f>
        <v>#DIV/0!</v>
      </c>
    </row>
    <row r="15" spans="2:7" ht="12.75">
      <c r="B15" s="225" t="s">
        <v>193</v>
      </c>
      <c r="C15" s="262"/>
      <c r="D15" s="117" t="e">
        <f>Bilanss!C40/(Bilanss!C40+Bilanss!C46)</f>
        <v>#DIV/0!</v>
      </c>
      <c r="E15" s="117" t="e">
        <f>Bilanss!D40/(Bilanss!D40+Bilanss!D46)</f>
        <v>#DIV/0!</v>
      </c>
      <c r="F15" s="117" t="e">
        <f>Bilanss!E40/(Bilanss!E40+Bilanss!E46)</f>
        <v>#DIV/0!</v>
      </c>
      <c r="G15" s="117" t="e">
        <f>Bilanss!F40/(Bilanss!F40+Bilanss!F46)</f>
        <v>#DIV/0!</v>
      </c>
    </row>
    <row r="16" spans="2:7" ht="12.75">
      <c r="B16" s="225" t="s">
        <v>194</v>
      </c>
      <c r="C16" s="262"/>
      <c r="D16" s="117" t="e">
        <f>Kasumiaruanne!B11/(Bilanss!C12+Bilanss!C22)</f>
        <v>#DIV/0!</v>
      </c>
      <c r="E16" s="117" t="e">
        <f>Kasumiaruanne!C11/(Bilanss!D12+Bilanss!D22)</f>
        <v>#DIV/0!</v>
      </c>
      <c r="F16" s="117" t="e">
        <f>Kasumiaruanne!D11/(Bilanss!E12+Bilanss!E22)</f>
        <v>#DIV/0!</v>
      </c>
      <c r="G16" s="117" t="e">
        <f>Kasumiaruanne!E11/(Bilanss!F12+Bilanss!F22)</f>
        <v>#DIV/0!</v>
      </c>
    </row>
    <row r="17" spans="2:7" ht="12.75">
      <c r="B17" s="225" t="s">
        <v>195</v>
      </c>
      <c r="C17" s="262"/>
      <c r="D17" s="117" t="e">
        <f>(Kasumiaruanne!B18+Kasumiaruanne!B19)/(Bilanss!C10+Bilanss!C11)</f>
        <v>#DIV/0!</v>
      </c>
      <c r="E17" s="117" t="e">
        <f>(Kasumiaruanne!C18+Kasumiaruanne!C19)/(Bilanss!D10+Bilanss!D11)</f>
        <v>#DIV/0!</v>
      </c>
      <c r="F17" s="117" t="e">
        <f>(Kasumiaruanne!D18+Kasumiaruanne!D19)/(Bilanss!E10+Bilanss!E11)</f>
        <v>#DIV/0!</v>
      </c>
      <c r="G17" s="117" t="e">
        <f>(Kasumiaruanne!E18+Kasumiaruanne!E19)/(Bilanss!F10+Bilanss!F11)</f>
        <v>#DIV/0!</v>
      </c>
    </row>
    <row r="18" spans="2:7" ht="12.75">
      <c r="B18" s="225" t="s">
        <v>196</v>
      </c>
      <c r="C18" s="262"/>
      <c r="D18" s="117" t="e">
        <f>(Kasumiaruanne!B12-Kasumiaruanne!B62)/(Bilanss!C12+Bilanss!C22)</f>
        <v>#DIV/0!</v>
      </c>
      <c r="E18" s="117" t="e">
        <f>(Kasumiaruanne!C12-Kasumiaruanne!C62)/(Bilanss!D12+Bilanss!D22)</f>
        <v>#DIV/0!</v>
      </c>
      <c r="F18" s="117" t="e">
        <f>(Kasumiaruanne!D12-Kasumiaruanne!D62)/(Bilanss!E12+Bilanss!E22)</f>
        <v>#DIV/0!</v>
      </c>
      <c r="G18" s="117" t="e">
        <f>(Kasumiaruanne!E12-Kasumiaruanne!E62)/(Bilanss!F12+Bilanss!F22)</f>
        <v>#DIV/0!</v>
      </c>
    </row>
    <row r="19" spans="2:11" ht="12.75">
      <c r="B19" s="225" t="s">
        <v>197</v>
      </c>
      <c r="C19" s="262"/>
      <c r="D19" s="117" t="e">
        <f>Kasumiaruanne!B67/Bilanss!C46</f>
        <v>#DIV/0!</v>
      </c>
      <c r="E19" s="117" t="e">
        <f>Kasumiaruanne!C67/Bilanss!D46</f>
        <v>#DIV/0!</v>
      </c>
      <c r="F19" s="117" t="e">
        <f>Kasumiaruanne!D67/Bilanss!E46</f>
        <v>#DIV/0!</v>
      </c>
      <c r="G19" s="117" t="e">
        <f>Kasumiaruanne!E67/Bilanss!F46</f>
        <v>#DIV/0!</v>
      </c>
      <c r="K19" s="261"/>
    </row>
    <row r="20" spans="2:7" ht="12.75">
      <c r="B20" s="225" t="s">
        <v>198</v>
      </c>
      <c r="C20" s="262"/>
      <c r="D20" s="264" t="e">
        <f>(Kasumiaruanne!B12-Kasumiaruanne!B62)+(Kasumiaruanne!B58+Kasumiaruanne!B59+Kasumiaruanne!B60)/Kasumiaruanne!B11</f>
        <v>#DIV/0!</v>
      </c>
      <c r="E20" s="264" t="e">
        <f>(Kasumiaruanne!C12-Kasumiaruanne!C62)+(Kasumiaruanne!C58+Kasumiaruanne!C59+Kasumiaruanne!C60)/Kasumiaruanne!C11</f>
        <v>#DIV/0!</v>
      </c>
      <c r="F20" s="264" t="e">
        <f>(Kasumiaruanne!D12-Kasumiaruanne!D62)+(Kasumiaruanne!D58+Kasumiaruanne!D59+Kasumiaruanne!D60)/Kasumiaruanne!D11</f>
        <v>#DIV/0!</v>
      </c>
      <c r="G20" s="264" t="e">
        <f>(Kasumiaruanne!E12-Kasumiaruanne!E62)+(Kasumiaruanne!E58+Kasumiaruanne!E59+Kasumiaruanne!E60)/Kasumiaruanne!E11</f>
        <v>#DIV/0!</v>
      </c>
    </row>
    <row r="21" spans="3:7" ht="12.75">
      <c r="C21" s="117"/>
      <c r="D21" s="117"/>
      <c r="E21" s="117"/>
      <c r="F21" s="117"/>
      <c r="G21" s="117"/>
    </row>
    <row r="22" spans="2:7" ht="12.75">
      <c r="B22" s="225" t="s">
        <v>203</v>
      </c>
      <c r="C22" s="262"/>
      <c r="D22" s="264" t="e">
        <f>('Algandmed '!B8/'Algandmed '!B7)*((Kasumiaruanne!B5+Bilanss!C11)/'Algandmed '!B8)</f>
        <v>#DIV/0!</v>
      </c>
      <c r="E22" s="264" t="e">
        <f>('Algandmed '!C8/'Algandmed '!C7)*((Kasumiaruanne!C5+Bilanss!D11)/'Algandmed '!C8)</f>
        <v>#DIV/0!</v>
      </c>
      <c r="F22" s="264" t="e">
        <f>('Algandmed '!D8/'Algandmed '!D7)*((Kasumiaruanne!D5+Bilanss!E11)/'Algandmed '!D8)</f>
        <v>#DIV/0!</v>
      </c>
      <c r="G22" s="264" t="e">
        <f>('Algandmed '!E8/'Algandmed '!E7)*((Kasumiaruanne!E5+Bilanss!F11)/'Algandmed '!E8)</f>
        <v>#DIV/0!</v>
      </c>
    </row>
    <row r="23" spans="2:7" ht="12.75">
      <c r="B23" s="225" t="s">
        <v>204</v>
      </c>
      <c r="C23" s="265">
        <f>IF(Bilanss!B40=0,0,(('Algandmed '!$B$10*Bilanss!B40)+('Algandmed '!$B$11*Bilanss!B46))/(Bilanss!B40+Bilanss!B46))</f>
        <v>0</v>
      </c>
      <c r="D23" s="117" t="e">
        <f>(('Algandmed '!$B$10*Bilanss!C40)+('Algandmed '!$B$11*Bilanss!C46))/(Bilanss!C40+Bilanss!C46)</f>
        <v>#DIV/0!</v>
      </c>
      <c r="E23" s="117"/>
      <c r="F23" s="117"/>
      <c r="G23" s="117"/>
    </row>
    <row r="24" spans="2:7" ht="12.75">
      <c r="B24" s="225" t="s">
        <v>216</v>
      </c>
      <c r="C24" s="263" t="e">
        <f>IF(C23=0,D23,C23)</f>
        <v>#DIV/0!</v>
      </c>
      <c r="D24" s="117" t="e">
        <f>1/POWER(1+$C$24,1)</f>
        <v>#DIV/0!</v>
      </c>
      <c r="E24" s="117" t="e">
        <f>1/POWER(1+$C$24,2)</f>
        <v>#DIV/0!</v>
      </c>
      <c r="F24" s="117" t="e">
        <f>1/POWER(1+$C$24,3)</f>
        <v>#DIV/0!</v>
      </c>
      <c r="G24" s="117" t="e">
        <f>1/POWER(1+$C$24,4)</f>
        <v>#DIV/0!</v>
      </c>
    </row>
    <row r="25" spans="2:3" ht="25.5">
      <c r="B25" s="247" t="s">
        <v>222</v>
      </c>
      <c r="C25" s="225" t="e">
        <f>IF(C23=0,D23-0.015,C23-0.015)</f>
        <v>#DIV/0!</v>
      </c>
    </row>
    <row r="26" spans="2:4" ht="25.5">
      <c r="B26" s="247" t="s">
        <v>224</v>
      </c>
      <c r="C26" s="266" t="e">
        <f>'Algandmed '!B9/((SUM(Kasumiaruanne!B69:F69)/20))</f>
        <v>#DIV/0!</v>
      </c>
      <c r="D26" s="261" t="s">
        <v>223</v>
      </c>
    </row>
  </sheetData>
  <sheetProtection password="C868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Ettevõtluse Arenduse Sihtasutus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Janeli Tikk</dc:creator>
  <cp:keywords/>
  <dc:description/>
  <cp:lastModifiedBy>Eve Pohlak</cp:lastModifiedBy>
  <cp:lastPrinted>2016-01-29T13:02:21Z</cp:lastPrinted>
  <dcterms:created xsi:type="dcterms:W3CDTF">2004-12-15T09:01:57Z</dcterms:created>
  <dcterms:modified xsi:type="dcterms:W3CDTF">2020-01-09T13:06:25Z</dcterms:modified>
  <cp:category/>
  <cp:version/>
  <cp:contentType/>
  <cp:contentStatus/>
</cp:coreProperties>
</file>